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3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bamba\skripte\corona_sim\"/>
    </mc:Choice>
  </mc:AlternateContent>
  <bookViews>
    <workbookView xWindow="0" yWindow="0" windowWidth="23040" windowHeight="9336" tabRatio="875" activeTab="1"/>
  </bookViews>
  <sheets>
    <sheet name="framework" sheetId="14" r:id="rId1"/>
    <sheet name="bdp" sheetId="1" r:id="rId2"/>
    <sheet name="nezaposlenost" sheetId="2" r:id="rId3"/>
    <sheet name="place" sheetId="3" r:id="rId4"/>
    <sheet name="vanjski_sektor" sheetId="5" r:id="rId5"/>
    <sheet name="krediti" sheetId="6" r:id="rId6"/>
    <sheet name="inflacija" sheetId="7" r:id="rId7"/>
    <sheet name="nekretnine" sheetId="9" r:id="rId8"/>
    <sheet name="javne_financije" sheetId="4" r:id="rId9"/>
    <sheet name="prinos" sheetId="11" r:id="rId10"/>
    <sheet name="kstope" sheetId="12" r:id="rId11"/>
    <sheet name="tecaj" sheetId="10" r:id="rId12"/>
  </sheets>
  <externalReferences>
    <externalReference r:id="rId13"/>
    <externalReference r:id="rId14"/>
  </externalReferences>
  <definedNames>
    <definedName name="goods">vanjski_sektor!$A$100:$AN$133</definedName>
    <definedName name="international_reserves">vanjski_sektor!$BQ$1:$BS$110</definedName>
    <definedName name="javni_deficit">javne_financije!$AG$5:$AJ$24</definedName>
    <definedName name="javni_dug">javne_financije!$AS$4:$BA$31</definedName>
    <definedName name="primary_income">vanjski_sektor!$BC$1:$BI$82</definedName>
    <definedName name="secondary_income">vanjski_sektor!$BK$1:$BO$82</definedName>
    <definedName name="services">vanjski_sektor!$AA$2:$BA$82</definedName>
  </definedNames>
  <calcPr calcId="162913"/>
  <extLst>
    <ext uri="GoogleSheetsCustomDataVersion1">
      <go:sheetsCustomData xmlns:go="http://customooxmlschemas.google.com/" r:id="rId15" roundtripDataSignature="AMtx7mhz134mjB2nUWGrEgYNhq9mYb+EWA=="/>
    </ext>
  </extLst>
</workbook>
</file>

<file path=xl/calcChain.xml><?xml version="1.0" encoding="utf-8"?>
<calcChain xmlns="http://schemas.openxmlformats.org/spreadsheetml/2006/main">
  <c r="AF115" i="1" l="1"/>
  <c r="AF114" i="1"/>
  <c r="AF113" i="1"/>
  <c r="AF112" i="1"/>
  <c r="AF111" i="1"/>
  <c r="AF110" i="1"/>
  <c r="AF109" i="1"/>
  <c r="AF108" i="1"/>
  <c r="AF107" i="1"/>
  <c r="AF105" i="1"/>
  <c r="AF106" i="1"/>
  <c r="AF104" i="1"/>
  <c r="M60" i="1"/>
  <c r="AB24" i="4" l="1"/>
  <c r="U24" i="4"/>
  <c r="Q94" i="5" l="1"/>
  <c r="R94" i="5"/>
  <c r="Q95" i="5"/>
  <c r="R95" i="5"/>
  <c r="Q96" i="5"/>
  <c r="R96" i="5"/>
  <c r="R93" i="5"/>
  <c r="Q93" i="5"/>
  <c r="Q89" i="5"/>
  <c r="R89" i="5"/>
  <c r="Q90" i="5"/>
  <c r="R90" i="5"/>
  <c r="Q91" i="5"/>
  <c r="R91" i="5"/>
  <c r="R88" i="5"/>
  <c r="Q88" i="5"/>
  <c r="Q84" i="5"/>
  <c r="R84" i="5"/>
  <c r="Q85" i="5"/>
  <c r="R85" i="5"/>
  <c r="Q86" i="5"/>
  <c r="R86" i="5"/>
  <c r="R83" i="5"/>
  <c r="Q83" i="5"/>
  <c r="L94" i="5"/>
  <c r="L95" i="5"/>
  <c r="L96" i="5"/>
  <c r="L93" i="5"/>
  <c r="L89" i="5"/>
  <c r="L90" i="5"/>
  <c r="L91" i="5"/>
  <c r="L88" i="5"/>
  <c r="L84" i="5"/>
  <c r="L85" i="5"/>
  <c r="L86" i="5"/>
  <c r="L83" i="5"/>
  <c r="F94" i="5"/>
  <c r="G94" i="5"/>
  <c r="H94" i="5"/>
  <c r="I94" i="5"/>
  <c r="J94" i="5"/>
  <c r="F95" i="5"/>
  <c r="G95" i="5"/>
  <c r="H95" i="5"/>
  <c r="I95" i="5"/>
  <c r="J95" i="5"/>
  <c r="F96" i="5"/>
  <c r="G96" i="5"/>
  <c r="H96" i="5"/>
  <c r="I96" i="5"/>
  <c r="J96" i="5"/>
  <c r="G93" i="5"/>
  <c r="H93" i="5"/>
  <c r="I93" i="5"/>
  <c r="J93" i="5"/>
  <c r="G88" i="5"/>
  <c r="H88" i="5"/>
  <c r="I88" i="5"/>
  <c r="J88" i="5"/>
  <c r="G89" i="5"/>
  <c r="H89" i="5"/>
  <c r="I89" i="5"/>
  <c r="J89" i="5"/>
  <c r="G90" i="5"/>
  <c r="H90" i="5"/>
  <c r="I90" i="5"/>
  <c r="J90" i="5"/>
  <c r="G91" i="5"/>
  <c r="H91" i="5"/>
  <c r="I91" i="5"/>
  <c r="J91" i="5"/>
  <c r="F89" i="5"/>
  <c r="F90" i="5"/>
  <c r="F91" i="5"/>
  <c r="F93" i="5"/>
  <c r="F88" i="5"/>
  <c r="G83" i="5"/>
  <c r="H83" i="5"/>
  <c r="I83" i="5"/>
  <c r="J83" i="5"/>
  <c r="G84" i="5"/>
  <c r="H84" i="5"/>
  <c r="I84" i="5"/>
  <c r="J84" i="5"/>
  <c r="G85" i="5"/>
  <c r="H85" i="5"/>
  <c r="I85" i="5"/>
  <c r="J85" i="5"/>
  <c r="G86" i="5"/>
  <c r="H86" i="5"/>
  <c r="I86" i="5"/>
  <c r="J86" i="5"/>
  <c r="F84" i="5"/>
  <c r="F85" i="5"/>
  <c r="F86" i="5"/>
  <c r="F83" i="5"/>
  <c r="BC23" i="2"/>
  <c r="BG23" i="2"/>
  <c r="BK23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N76" i="4" l="1"/>
  <c r="N50" i="4"/>
  <c r="N24" i="4"/>
  <c r="O68" i="1" l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N76" i="1"/>
  <c r="N69" i="1"/>
  <c r="N70" i="1"/>
  <c r="N71" i="1"/>
  <c r="N72" i="1"/>
  <c r="N73" i="1"/>
  <c r="N74" i="1"/>
  <c r="N75" i="1"/>
  <c r="N68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M65" i="1"/>
  <c r="AL57" i="1"/>
  <c r="AL64" i="1"/>
  <c r="AL63" i="1"/>
  <c r="AL62" i="1"/>
  <c r="AL61" i="1"/>
  <c r="AL60" i="1"/>
  <c r="AL59" i="1"/>
  <c r="AL58" i="1"/>
  <c r="AK64" i="1"/>
  <c r="AK63" i="1"/>
  <c r="AK62" i="1"/>
  <c r="AK61" i="1"/>
  <c r="AK60" i="1"/>
  <c r="AK59" i="1"/>
  <c r="AK58" i="1"/>
  <c r="AK57" i="1"/>
  <c r="AJ61" i="1"/>
  <c r="AJ64" i="1"/>
  <c r="AJ63" i="1"/>
  <c r="AJ62" i="1"/>
  <c r="AJ60" i="1"/>
  <c r="AJ59" i="1"/>
  <c r="AJ58" i="1"/>
  <c r="AJ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M64" i="1"/>
  <c r="M63" i="1"/>
  <c r="M62" i="1"/>
  <c r="M61" i="1"/>
  <c r="M59" i="1"/>
  <c r="M58" i="1"/>
  <c r="M57" i="1"/>
  <c r="V71" i="9" l="1"/>
  <c r="O71" i="9"/>
  <c r="H71" i="9"/>
  <c r="H4" i="12" l="1"/>
  <c r="K4" i="12"/>
  <c r="H5" i="12"/>
  <c r="K5" i="12"/>
  <c r="H6" i="12"/>
  <c r="K6" i="12"/>
  <c r="H7" i="12"/>
  <c r="K7" i="12"/>
  <c r="H8" i="12"/>
  <c r="K8" i="12"/>
  <c r="H9" i="12"/>
  <c r="K9" i="12"/>
  <c r="H10" i="12"/>
  <c r="K10" i="12"/>
  <c r="H11" i="12"/>
  <c r="K11" i="12"/>
  <c r="H12" i="12"/>
  <c r="K12" i="12"/>
  <c r="H13" i="12"/>
  <c r="K13" i="12"/>
  <c r="H14" i="12"/>
  <c r="K14" i="12"/>
  <c r="H15" i="12"/>
  <c r="K15" i="12"/>
  <c r="H16" i="12"/>
  <c r="K16" i="12"/>
  <c r="H17" i="12"/>
  <c r="K17" i="12"/>
  <c r="H18" i="12"/>
  <c r="K18" i="12"/>
  <c r="H19" i="12"/>
  <c r="K19" i="12"/>
  <c r="H20" i="12"/>
  <c r="K20" i="12"/>
  <c r="H21" i="12"/>
  <c r="K21" i="12"/>
  <c r="H22" i="12"/>
  <c r="K22" i="12"/>
  <c r="H23" i="12"/>
  <c r="K23" i="12"/>
  <c r="H24" i="12"/>
  <c r="K24" i="12"/>
  <c r="H25" i="12"/>
  <c r="K25" i="12"/>
  <c r="H26" i="12"/>
  <c r="K26" i="12"/>
  <c r="H27" i="12"/>
  <c r="K27" i="12"/>
  <c r="H28" i="12"/>
  <c r="K28" i="12"/>
  <c r="H29" i="12"/>
  <c r="K29" i="12"/>
  <c r="H30" i="12"/>
  <c r="K30" i="12"/>
  <c r="H31" i="12"/>
  <c r="K31" i="12"/>
  <c r="H32" i="12"/>
  <c r="K32" i="12"/>
  <c r="H33" i="12"/>
  <c r="K33" i="12"/>
  <c r="H34" i="12"/>
  <c r="K34" i="12"/>
  <c r="H35" i="12"/>
  <c r="K35" i="12"/>
  <c r="H36" i="12"/>
  <c r="K36" i="12"/>
  <c r="H37" i="12"/>
  <c r="K37" i="12"/>
  <c r="H38" i="12"/>
  <c r="K38" i="12"/>
  <c r="H39" i="12"/>
  <c r="K39" i="12"/>
  <c r="H40" i="12"/>
  <c r="K40" i="12"/>
  <c r="H41" i="12"/>
  <c r="K41" i="12"/>
  <c r="H42" i="12"/>
  <c r="K42" i="12"/>
  <c r="H43" i="12"/>
  <c r="K43" i="12"/>
  <c r="H44" i="12"/>
  <c r="K44" i="12"/>
  <c r="H45" i="12"/>
  <c r="K45" i="12"/>
  <c r="H46" i="12"/>
  <c r="K46" i="12"/>
  <c r="H47" i="12"/>
  <c r="K47" i="12"/>
  <c r="H48" i="12"/>
  <c r="K48" i="12"/>
  <c r="H49" i="12"/>
  <c r="K49" i="12"/>
  <c r="H50" i="12"/>
  <c r="K50" i="12"/>
  <c r="H51" i="12"/>
  <c r="K51" i="12"/>
  <c r="H52" i="12"/>
  <c r="K52" i="12"/>
  <c r="H53" i="12"/>
  <c r="K53" i="12"/>
  <c r="H54" i="12"/>
  <c r="K54" i="12"/>
  <c r="H55" i="12"/>
  <c r="K55" i="12"/>
  <c r="H56" i="12"/>
  <c r="K56" i="12"/>
  <c r="H57" i="12"/>
  <c r="K57" i="12"/>
  <c r="H58" i="12"/>
  <c r="K58" i="12"/>
  <c r="H59" i="12"/>
  <c r="K59" i="12"/>
  <c r="H60" i="12"/>
  <c r="K60" i="12"/>
  <c r="H61" i="12"/>
  <c r="K61" i="12"/>
  <c r="H62" i="12"/>
  <c r="K62" i="12"/>
  <c r="H63" i="12"/>
  <c r="K63" i="12"/>
  <c r="H64" i="12"/>
  <c r="K64" i="12"/>
  <c r="H65" i="12"/>
  <c r="K65" i="12"/>
  <c r="H66" i="12"/>
  <c r="K66" i="12"/>
  <c r="H67" i="12"/>
  <c r="K67" i="12"/>
  <c r="H68" i="12"/>
  <c r="K68" i="12"/>
  <c r="H69" i="12"/>
  <c r="K69" i="12"/>
  <c r="H70" i="12"/>
  <c r="K70" i="12"/>
  <c r="H71" i="12"/>
  <c r="K71" i="12"/>
  <c r="H72" i="12"/>
  <c r="K72" i="12"/>
  <c r="H73" i="12"/>
  <c r="K73" i="12"/>
  <c r="H74" i="12"/>
  <c r="K74" i="12"/>
  <c r="K3" i="12"/>
  <c r="H3" i="12"/>
  <c r="AE76" i="11"/>
  <c r="AE77" i="11"/>
  <c r="AE78" i="11"/>
  <c r="AE75" i="11"/>
  <c r="S76" i="11"/>
  <c r="S77" i="11"/>
  <c r="S78" i="11"/>
  <c r="S75" i="11"/>
  <c r="F76" i="11"/>
  <c r="F77" i="11" s="1"/>
  <c r="F78" i="11" s="1"/>
  <c r="AD77" i="11"/>
  <c r="AD78" i="11"/>
  <c r="AD76" i="11"/>
  <c r="R77" i="11"/>
  <c r="R78" i="11"/>
  <c r="R76" i="11"/>
  <c r="AA77" i="11"/>
  <c r="AA78" i="11"/>
  <c r="AA76" i="11"/>
  <c r="O77" i="11"/>
  <c r="O78" i="11"/>
  <c r="O76" i="11"/>
  <c r="AH74" i="11"/>
  <c r="AI74" i="11" s="1"/>
  <c r="AH73" i="11"/>
  <c r="AI73" i="11" s="1"/>
  <c r="AJ74" i="11" s="1"/>
  <c r="AI72" i="11"/>
  <c r="AJ73" i="11" s="1"/>
  <c r="AH72" i="11"/>
  <c r="AI71" i="11"/>
  <c r="AJ72" i="11" s="1"/>
  <c r="AH71" i="11"/>
  <c r="AI70" i="11"/>
  <c r="AJ71" i="11" s="1"/>
  <c r="AH70" i="11"/>
  <c r="AH69" i="11"/>
  <c r="AI69" i="11" s="1"/>
  <c r="AJ70" i="11" s="1"/>
  <c r="AH68" i="11"/>
  <c r="AI68" i="11" s="1"/>
  <c r="AJ69" i="11" s="1"/>
  <c r="AH67" i="11"/>
  <c r="AI67" i="11" s="1"/>
  <c r="AJ68" i="11" s="1"/>
  <c r="AH66" i="11"/>
  <c r="AI66" i="11" s="1"/>
  <c r="AJ67" i="11" s="1"/>
  <c r="AH65" i="11"/>
  <c r="AI65" i="11" s="1"/>
  <c r="AJ66" i="11" s="1"/>
  <c r="AI64" i="11"/>
  <c r="AJ65" i="11" s="1"/>
  <c r="AH64" i="11"/>
  <c r="AI63" i="11"/>
  <c r="AJ64" i="11" s="1"/>
  <c r="AH63" i="11"/>
  <c r="AI62" i="11"/>
  <c r="AJ63" i="11" s="1"/>
  <c r="AH62" i="11"/>
  <c r="AH61" i="11"/>
  <c r="AI61" i="11" s="1"/>
  <c r="AJ62" i="11" s="1"/>
  <c r="AH60" i="11"/>
  <c r="AI60" i="11" s="1"/>
  <c r="AJ61" i="11" s="1"/>
  <c r="AH59" i="11"/>
  <c r="AI59" i="11" s="1"/>
  <c r="AJ60" i="11" s="1"/>
  <c r="AH58" i="11"/>
  <c r="AI58" i="11" s="1"/>
  <c r="AJ59" i="11" s="1"/>
  <c r="AH57" i="11"/>
  <c r="AI57" i="11" s="1"/>
  <c r="AJ58" i="11" s="1"/>
  <c r="AI56" i="11"/>
  <c r="AJ57" i="11" s="1"/>
  <c r="AH56" i="11"/>
  <c r="AI55" i="11"/>
  <c r="AJ56" i="11" s="1"/>
  <c r="AH55" i="11"/>
  <c r="AI54" i="11"/>
  <c r="AJ55" i="11" s="1"/>
  <c r="AH54" i="11"/>
  <c r="AH53" i="11"/>
  <c r="AI53" i="11" s="1"/>
  <c r="AJ54" i="11" s="1"/>
  <c r="AH52" i="11"/>
  <c r="AI52" i="11" s="1"/>
  <c r="AJ53" i="11" s="1"/>
  <c r="AH51" i="11"/>
  <c r="AI51" i="11" s="1"/>
  <c r="AJ52" i="11" s="1"/>
  <c r="AH50" i="11"/>
  <c r="AI50" i="11" s="1"/>
  <c r="AJ51" i="11" s="1"/>
  <c r="AH49" i="11"/>
  <c r="AI49" i="11" s="1"/>
  <c r="AJ50" i="11" s="1"/>
  <c r="AI48" i="11"/>
  <c r="AJ49" i="11" s="1"/>
  <c r="AH48" i="11"/>
  <c r="AI47" i="11"/>
  <c r="AJ48" i="11" s="1"/>
  <c r="AH47" i="11"/>
  <c r="AI46" i="11"/>
  <c r="AJ47" i="11" s="1"/>
  <c r="AH46" i="11"/>
  <c r="AH45" i="11"/>
  <c r="AI45" i="11" s="1"/>
  <c r="AJ46" i="11" s="1"/>
  <c r="AH44" i="11"/>
  <c r="AI44" i="11" s="1"/>
  <c r="AJ45" i="11" s="1"/>
  <c r="AH43" i="11"/>
  <c r="AI43" i="11" s="1"/>
  <c r="AJ44" i="11" s="1"/>
  <c r="AH42" i="11"/>
  <c r="AI42" i="11" s="1"/>
  <c r="AJ43" i="11" s="1"/>
  <c r="AH41" i="11"/>
  <c r="AI41" i="11" s="1"/>
  <c r="AJ42" i="11" s="1"/>
  <c r="AI40" i="11"/>
  <c r="AJ41" i="11" s="1"/>
  <c r="AH40" i="11"/>
  <c r="AI39" i="11"/>
  <c r="AJ40" i="11" s="1"/>
  <c r="AH39" i="11"/>
  <c r="AI38" i="11"/>
  <c r="AJ39" i="11" s="1"/>
  <c r="AH38" i="11"/>
  <c r="AH37" i="11"/>
  <c r="AI37" i="11" s="1"/>
  <c r="AJ38" i="11" s="1"/>
  <c r="AH36" i="11"/>
  <c r="AI36" i="11" s="1"/>
  <c r="AJ37" i="11" s="1"/>
  <c r="AH35" i="11"/>
  <c r="AI35" i="11" s="1"/>
  <c r="AJ36" i="11" s="1"/>
  <c r="AH34" i="11"/>
  <c r="AI34" i="11" s="1"/>
  <c r="AJ35" i="11" s="1"/>
  <c r="AH33" i="11"/>
  <c r="AI33" i="11" s="1"/>
  <c r="AJ34" i="11" s="1"/>
  <c r="AI32" i="11"/>
  <c r="AJ33" i="11" s="1"/>
  <c r="AH32" i="11"/>
  <c r="AI31" i="11"/>
  <c r="AJ32" i="11" s="1"/>
  <c r="AH31" i="11"/>
  <c r="AI30" i="11"/>
  <c r="AJ31" i="11" s="1"/>
  <c r="AH30" i="11"/>
  <c r="AH29" i="11"/>
  <c r="AI29" i="11" s="1"/>
  <c r="AJ30" i="11" s="1"/>
  <c r="AH28" i="11"/>
  <c r="AI28" i="11" s="1"/>
  <c r="AJ29" i="11" s="1"/>
  <c r="AH27" i="11"/>
  <c r="AI27" i="11" s="1"/>
  <c r="AJ28" i="11" s="1"/>
  <c r="AH26" i="11"/>
  <c r="AI26" i="11" s="1"/>
  <c r="AJ27" i="11" s="1"/>
  <c r="AH25" i="11"/>
  <c r="AI25" i="11" s="1"/>
  <c r="AJ26" i="11" s="1"/>
  <c r="AI24" i="11"/>
  <c r="AJ25" i="11" s="1"/>
  <c r="AH24" i="11"/>
  <c r="AI23" i="11"/>
  <c r="AJ24" i="11" s="1"/>
  <c r="AH23" i="11"/>
  <c r="AI22" i="11"/>
  <c r="AJ23" i="11" s="1"/>
  <c r="AH22" i="11"/>
  <c r="AH21" i="11"/>
  <c r="AI21" i="11" s="1"/>
  <c r="AJ22" i="11" s="1"/>
  <c r="AH20" i="11"/>
  <c r="AI20" i="11" s="1"/>
  <c r="AJ21" i="11" s="1"/>
  <c r="AH19" i="11"/>
  <c r="AI19" i="11" s="1"/>
  <c r="AJ20" i="11" s="1"/>
  <c r="AH18" i="11"/>
  <c r="AI18" i="11" s="1"/>
  <c r="AJ19" i="11" s="1"/>
  <c r="AH17" i="11"/>
  <c r="AI17" i="11" s="1"/>
  <c r="AJ18" i="11" s="1"/>
  <c r="AI16" i="11"/>
  <c r="AJ17" i="11" s="1"/>
  <c r="AH16" i="11"/>
  <c r="AI15" i="11"/>
  <c r="AJ16" i="11" s="1"/>
  <c r="AH15" i="11"/>
  <c r="AI14" i="11"/>
  <c r="AJ15" i="11" s="1"/>
  <c r="AH14" i="11"/>
  <c r="AH13" i="11"/>
  <c r="AI13" i="11" s="1"/>
  <c r="AJ14" i="11" s="1"/>
  <c r="AH12" i="11"/>
  <c r="AI12" i="11" s="1"/>
  <c r="AJ13" i="11" s="1"/>
  <c r="AH11" i="11"/>
  <c r="AI11" i="11" s="1"/>
  <c r="AJ12" i="11" s="1"/>
  <c r="AH10" i="11"/>
  <c r="AI10" i="11" s="1"/>
  <c r="AJ11" i="11" s="1"/>
  <c r="AH9" i="11"/>
  <c r="AI9" i="11" s="1"/>
  <c r="AJ10" i="11" s="1"/>
  <c r="AI8" i="11"/>
  <c r="AJ9" i="11" s="1"/>
  <c r="AH8" i="11"/>
  <c r="AI7" i="11"/>
  <c r="AJ8" i="11" s="1"/>
  <c r="AH7" i="11"/>
  <c r="AI6" i="11"/>
  <c r="AJ7" i="11" s="1"/>
  <c r="AH6" i="11"/>
  <c r="AH5" i="11"/>
  <c r="AI5" i="11" s="1"/>
  <c r="AJ6" i="11" s="1"/>
  <c r="AH4" i="11"/>
  <c r="AI4" i="11" s="1"/>
  <c r="AJ5" i="11" s="1"/>
  <c r="AI3" i="11"/>
  <c r="AJ4" i="11" s="1"/>
  <c r="AH3" i="11"/>
  <c r="V74" i="11"/>
  <c r="W74" i="11" s="1"/>
  <c r="V73" i="11"/>
  <c r="W73" i="11" s="1"/>
  <c r="X74" i="11" s="1"/>
  <c r="X72" i="11"/>
  <c r="W72" i="11"/>
  <c r="X73" i="11" s="1"/>
  <c r="V72" i="11"/>
  <c r="W71" i="11"/>
  <c r="V71" i="11"/>
  <c r="V70" i="11"/>
  <c r="W70" i="11" s="1"/>
  <c r="X71" i="11" s="1"/>
  <c r="W69" i="11"/>
  <c r="X70" i="11" s="1"/>
  <c r="V69" i="11"/>
  <c r="V68" i="11"/>
  <c r="W68" i="11" s="1"/>
  <c r="X69" i="11" s="1"/>
  <c r="V67" i="11"/>
  <c r="W67" i="11" s="1"/>
  <c r="X68" i="11" s="1"/>
  <c r="V66" i="11"/>
  <c r="W66" i="11" s="1"/>
  <c r="X67" i="11" s="1"/>
  <c r="V65" i="11"/>
  <c r="W65" i="11" s="1"/>
  <c r="X66" i="11" s="1"/>
  <c r="X64" i="11"/>
  <c r="W64" i="11"/>
  <c r="X65" i="11" s="1"/>
  <c r="V64" i="11"/>
  <c r="W63" i="11"/>
  <c r="V63" i="11"/>
  <c r="V62" i="11"/>
  <c r="W62" i="11" s="1"/>
  <c r="X63" i="11" s="1"/>
  <c r="W61" i="11"/>
  <c r="X62" i="11" s="1"/>
  <c r="V61" i="11"/>
  <c r="V60" i="11"/>
  <c r="W60" i="11" s="1"/>
  <c r="X61" i="11" s="1"/>
  <c r="V59" i="11"/>
  <c r="W59" i="11" s="1"/>
  <c r="X60" i="11" s="1"/>
  <c r="V58" i="11"/>
  <c r="W58" i="11" s="1"/>
  <c r="X59" i="11" s="1"/>
  <c r="V57" i="11"/>
  <c r="W57" i="11" s="1"/>
  <c r="X58" i="11" s="1"/>
  <c r="X56" i="11"/>
  <c r="W56" i="11"/>
  <c r="X57" i="11" s="1"/>
  <c r="V56" i="11"/>
  <c r="W55" i="11"/>
  <c r="V55" i="11"/>
  <c r="V54" i="11"/>
  <c r="W54" i="11" s="1"/>
  <c r="X55" i="11" s="1"/>
  <c r="W53" i="11"/>
  <c r="X54" i="11" s="1"/>
  <c r="V53" i="11"/>
  <c r="V52" i="11"/>
  <c r="W52" i="11" s="1"/>
  <c r="X53" i="11" s="1"/>
  <c r="V51" i="11"/>
  <c r="W51" i="11" s="1"/>
  <c r="X52" i="11" s="1"/>
  <c r="V50" i="11"/>
  <c r="W50" i="11" s="1"/>
  <c r="X51" i="11" s="1"/>
  <c r="V49" i="11"/>
  <c r="W49" i="11" s="1"/>
  <c r="X50" i="11" s="1"/>
  <c r="X48" i="11"/>
  <c r="W48" i="11"/>
  <c r="X49" i="11" s="1"/>
  <c r="V48" i="11"/>
  <c r="W47" i="11"/>
  <c r="V47" i="11"/>
  <c r="V46" i="11"/>
  <c r="W46" i="11" s="1"/>
  <c r="X47" i="11" s="1"/>
  <c r="W45" i="11"/>
  <c r="X46" i="11" s="1"/>
  <c r="V45" i="11"/>
  <c r="V44" i="11"/>
  <c r="W44" i="11" s="1"/>
  <c r="X45" i="11" s="1"/>
  <c r="V43" i="11"/>
  <c r="W43" i="11" s="1"/>
  <c r="X44" i="11" s="1"/>
  <c r="V42" i="11"/>
  <c r="W42" i="11" s="1"/>
  <c r="X43" i="11" s="1"/>
  <c r="V41" i="11"/>
  <c r="W41" i="11" s="1"/>
  <c r="X42" i="11" s="1"/>
  <c r="X40" i="11"/>
  <c r="W40" i="11"/>
  <c r="X41" i="11" s="1"/>
  <c r="V40" i="11"/>
  <c r="W39" i="11"/>
  <c r="V39" i="11"/>
  <c r="V38" i="11"/>
  <c r="W38" i="11" s="1"/>
  <c r="X39" i="11" s="1"/>
  <c r="W37" i="11"/>
  <c r="X38" i="11" s="1"/>
  <c r="V37" i="11"/>
  <c r="V36" i="11"/>
  <c r="W36" i="11" s="1"/>
  <c r="X37" i="11" s="1"/>
  <c r="V35" i="11"/>
  <c r="W35" i="11" s="1"/>
  <c r="X36" i="11" s="1"/>
  <c r="V34" i="11"/>
  <c r="W34" i="11" s="1"/>
  <c r="X35" i="11" s="1"/>
  <c r="V33" i="11"/>
  <c r="W33" i="11" s="1"/>
  <c r="X34" i="11" s="1"/>
  <c r="X32" i="11"/>
  <c r="W32" i="11"/>
  <c r="X33" i="11" s="1"/>
  <c r="V32" i="11"/>
  <c r="W31" i="11"/>
  <c r="V31" i="11"/>
  <c r="V30" i="11"/>
  <c r="W30" i="11" s="1"/>
  <c r="X31" i="11" s="1"/>
  <c r="W29" i="11"/>
  <c r="X30" i="11" s="1"/>
  <c r="V29" i="11"/>
  <c r="V28" i="11"/>
  <c r="W28" i="11" s="1"/>
  <c r="X29" i="11" s="1"/>
  <c r="V27" i="11"/>
  <c r="W27" i="11" s="1"/>
  <c r="X28" i="11" s="1"/>
  <c r="V26" i="11"/>
  <c r="W26" i="11" s="1"/>
  <c r="X27" i="11" s="1"/>
  <c r="V25" i="11"/>
  <c r="W25" i="11" s="1"/>
  <c r="X26" i="11" s="1"/>
  <c r="X24" i="11"/>
  <c r="W24" i="11"/>
  <c r="X25" i="11" s="1"/>
  <c r="V24" i="11"/>
  <c r="W23" i="11"/>
  <c r="V23" i="11"/>
  <c r="V22" i="11"/>
  <c r="W22" i="11" s="1"/>
  <c r="X23" i="11" s="1"/>
  <c r="W21" i="11"/>
  <c r="X22" i="11" s="1"/>
  <c r="V21" i="11"/>
  <c r="V20" i="11"/>
  <c r="W20" i="11" s="1"/>
  <c r="X21" i="11" s="1"/>
  <c r="V19" i="11"/>
  <c r="W19" i="11" s="1"/>
  <c r="X20" i="11" s="1"/>
  <c r="V18" i="11"/>
  <c r="W18" i="11" s="1"/>
  <c r="X19" i="11" s="1"/>
  <c r="V17" i="11"/>
  <c r="W17" i="11" s="1"/>
  <c r="X18" i="11" s="1"/>
  <c r="X16" i="11"/>
  <c r="W16" i="11"/>
  <c r="X17" i="11" s="1"/>
  <c r="V16" i="11"/>
  <c r="W15" i="11"/>
  <c r="V15" i="11"/>
  <c r="V14" i="11"/>
  <c r="W14" i="11" s="1"/>
  <c r="X15" i="11" s="1"/>
  <c r="W13" i="11"/>
  <c r="X14" i="11" s="1"/>
  <c r="V13" i="11"/>
  <c r="V12" i="11"/>
  <c r="W12" i="11" s="1"/>
  <c r="X13" i="11" s="1"/>
  <c r="V11" i="11"/>
  <c r="W11" i="11" s="1"/>
  <c r="X12" i="11" s="1"/>
  <c r="V10" i="11"/>
  <c r="W10" i="11" s="1"/>
  <c r="X11" i="11" s="1"/>
  <c r="V9" i="11"/>
  <c r="W9" i="11" s="1"/>
  <c r="X10" i="11" s="1"/>
  <c r="X8" i="11"/>
  <c r="W8" i="11"/>
  <c r="X9" i="11" s="1"/>
  <c r="V8" i="11"/>
  <c r="W7" i="11"/>
  <c r="V7" i="11"/>
  <c r="V6" i="11"/>
  <c r="W6" i="11" s="1"/>
  <c r="X7" i="11" s="1"/>
  <c r="W5" i="11"/>
  <c r="X6" i="11" s="1"/>
  <c r="V5" i="11"/>
  <c r="V4" i="11"/>
  <c r="W4" i="11" s="1"/>
  <c r="X5" i="11" s="1"/>
  <c r="V3" i="11"/>
  <c r="W3" i="11" s="1"/>
  <c r="X4" i="11" s="1"/>
  <c r="D77" i="12"/>
  <c r="D78" i="12"/>
  <c r="D76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C77" i="11"/>
  <c r="C78" i="11"/>
  <c r="C76" i="11"/>
  <c r="G76" i="11"/>
  <c r="G77" i="11"/>
  <c r="G78" i="11"/>
  <c r="G75" i="11"/>
  <c r="AQ117" i="1"/>
  <c r="AQ119" i="1" s="1"/>
  <c r="J4" i="11"/>
  <c r="K4" i="11" s="1"/>
  <c r="L5" i="11" s="1"/>
  <c r="J5" i="11"/>
  <c r="K5" i="11" s="1"/>
  <c r="L6" i="11" s="1"/>
  <c r="J6" i="11"/>
  <c r="K6" i="11" s="1"/>
  <c r="L7" i="11" s="1"/>
  <c r="J7" i="11"/>
  <c r="K7" i="11" s="1"/>
  <c r="L8" i="11" s="1"/>
  <c r="J8" i="11"/>
  <c r="K8" i="11" s="1"/>
  <c r="L9" i="11" s="1"/>
  <c r="J9" i="11"/>
  <c r="K9" i="11" s="1"/>
  <c r="L10" i="11" s="1"/>
  <c r="J10" i="11"/>
  <c r="K10" i="11" s="1"/>
  <c r="L11" i="11" s="1"/>
  <c r="J11" i="11"/>
  <c r="K11" i="11" s="1"/>
  <c r="L12" i="11" s="1"/>
  <c r="J12" i="11"/>
  <c r="K12" i="11" s="1"/>
  <c r="L13" i="11" s="1"/>
  <c r="J13" i="11"/>
  <c r="K13" i="11" s="1"/>
  <c r="L14" i="11" s="1"/>
  <c r="J14" i="11"/>
  <c r="K14" i="11" s="1"/>
  <c r="L15" i="11" s="1"/>
  <c r="J15" i="11"/>
  <c r="K15" i="11" s="1"/>
  <c r="L16" i="11" s="1"/>
  <c r="J16" i="11"/>
  <c r="K16" i="11" s="1"/>
  <c r="L17" i="11" s="1"/>
  <c r="J17" i="11"/>
  <c r="K17" i="11" s="1"/>
  <c r="L18" i="11" s="1"/>
  <c r="J18" i="11"/>
  <c r="K18" i="11" s="1"/>
  <c r="L19" i="11" s="1"/>
  <c r="J19" i="11"/>
  <c r="K19" i="11" s="1"/>
  <c r="L20" i="11" s="1"/>
  <c r="J20" i="11"/>
  <c r="K20" i="11" s="1"/>
  <c r="L21" i="11" s="1"/>
  <c r="J21" i="11"/>
  <c r="K21" i="11" s="1"/>
  <c r="L22" i="11" s="1"/>
  <c r="J22" i="11"/>
  <c r="K22" i="11" s="1"/>
  <c r="L23" i="11" s="1"/>
  <c r="J23" i="11"/>
  <c r="K23" i="11" s="1"/>
  <c r="L24" i="11" s="1"/>
  <c r="J24" i="11"/>
  <c r="K24" i="11" s="1"/>
  <c r="L25" i="11" s="1"/>
  <c r="J25" i="11"/>
  <c r="K25" i="11" s="1"/>
  <c r="L26" i="11" s="1"/>
  <c r="J26" i="11"/>
  <c r="K26" i="11" s="1"/>
  <c r="L27" i="11" s="1"/>
  <c r="J27" i="11"/>
  <c r="K27" i="11" s="1"/>
  <c r="L28" i="11" s="1"/>
  <c r="J28" i="11"/>
  <c r="K28" i="11" s="1"/>
  <c r="L29" i="11" s="1"/>
  <c r="J29" i="11"/>
  <c r="K29" i="11" s="1"/>
  <c r="L30" i="11" s="1"/>
  <c r="J30" i="11"/>
  <c r="K30" i="11" s="1"/>
  <c r="L31" i="11" s="1"/>
  <c r="J31" i="11"/>
  <c r="K31" i="11" s="1"/>
  <c r="L32" i="11" s="1"/>
  <c r="J32" i="11"/>
  <c r="K32" i="11" s="1"/>
  <c r="L33" i="11" s="1"/>
  <c r="J33" i="11"/>
  <c r="K33" i="11" s="1"/>
  <c r="L34" i="11" s="1"/>
  <c r="J34" i="11"/>
  <c r="K34" i="11" s="1"/>
  <c r="L35" i="11" s="1"/>
  <c r="J35" i="11"/>
  <c r="K35" i="11" s="1"/>
  <c r="L36" i="11" s="1"/>
  <c r="J36" i="11"/>
  <c r="K36" i="11" s="1"/>
  <c r="L37" i="11" s="1"/>
  <c r="J37" i="11"/>
  <c r="K37" i="11" s="1"/>
  <c r="L38" i="11" s="1"/>
  <c r="J38" i="11"/>
  <c r="K38" i="11" s="1"/>
  <c r="L39" i="11" s="1"/>
  <c r="J39" i="11"/>
  <c r="K39" i="11" s="1"/>
  <c r="L40" i="11" s="1"/>
  <c r="J40" i="11"/>
  <c r="K40" i="11" s="1"/>
  <c r="L41" i="11" s="1"/>
  <c r="J41" i="11"/>
  <c r="K41" i="11" s="1"/>
  <c r="L42" i="11" s="1"/>
  <c r="J42" i="11"/>
  <c r="K42" i="11" s="1"/>
  <c r="L43" i="11" s="1"/>
  <c r="J43" i="11"/>
  <c r="K43" i="11" s="1"/>
  <c r="L44" i="11" s="1"/>
  <c r="J44" i="11"/>
  <c r="K44" i="11" s="1"/>
  <c r="L45" i="11" s="1"/>
  <c r="J45" i="11"/>
  <c r="K45" i="11" s="1"/>
  <c r="L46" i="11" s="1"/>
  <c r="J46" i="11"/>
  <c r="K46" i="11" s="1"/>
  <c r="L47" i="11" s="1"/>
  <c r="J47" i="11"/>
  <c r="K47" i="11" s="1"/>
  <c r="L48" i="11" s="1"/>
  <c r="J48" i="11"/>
  <c r="K48" i="11" s="1"/>
  <c r="L49" i="11" s="1"/>
  <c r="J49" i="11"/>
  <c r="K49" i="11" s="1"/>
  <c r="L50" i="11" s="1"/>
  <c r="J50" i="11"/>
  <c r="K50" i="11" s="1"/>
  <c r="L51" i="11" s="1"/>
  <c r="J51" i="11"/>
  <c r="K51" i="11" s="1"/>
  <c r="L52" i="11" s="1"/>
  <c r="J52" i="11"/>
  <c r="K52" i="11" s="1"/>
  <c r="L53" i="11" s="1"/>
  <c r="J53" i="11"/>
  <c r="K53" i="11" s="1"/>
  <c r="L54" i="11" s="1"/>
  <c r="J54" i="11"/>
  <c r="K54" i="11" s="1"/>
  <c r="L55" i="11" s="1"/>
  <c r="J55" i="11"/>
  <c r="K55" i="11" s="1"/>
  <c r="L56" i="11" s="1"/>
  <c r="J56" i="11"/>
  <c r="K56" i="11" s="1"/>
  <c r="L57" i="11" s="1"/>
  <c r="J57" i="11"/>
  <c r="K57" i="11" s="1"/>
  <c r="L58" i="11" s="1"/>
  <c r="J58" i="11"/>
  <c r="K58" i="11" s="1"/>
  <c r="L59" i="11" s="1"/>
  <c r="J59" i="11"/>
  <c r="K59" i="11" s="1"/>
  <c r="L60" i="11" s="1"/>
  <c r="J60" i="11"/>
  <c r="K60" i="11" s="1"/>
  <c r="L61" i="11" s="1"/>
  <c r="J61" i="11"/>
  <c r="K61" i="11" s="1"/>
  <c r="L62" i="11" s="1"/>
  <c r="J62" i="11"/>
  <c r="K62" i="11" s="1"/>
  <c r="L63" i="11" s="1"/>
  <c r="J63" i="11"/>
  <c r="K63" i="11" s="1"/>
  <c r="L64" i="11" s="1"/>
  <c r="J64" i="11"/>
  <c r="K64" i="11" s="1"/>
  <c r="L65" i="11" s="1"/>
  <c r="J65" i="11"/>
  <c r="K65" i="11" s="1"/>
  <c r="L66" i="11" s="1"/>
  <c r="J66" i="11"/>
  <c r="K66" i="11" s="1"/>
  <c r="L67" i="11" s="1"/>
  <c r="J67" i="11"/>
  <c r="K67" i="11" s="1"/>
  <c r="L68" i="11" s="1"/>
  <c r="J68" i="11"/>
  <c r="K68" i="11" s="1"/>
  <c r="L69" i="11" s="1"/>
  <c r="J69" i="11"/>
  <c r="K69" i="11" s="1"/>
  <c r="L70" i="11" s="1"/>
  <c r="J70" i="11"/>
  <c r="K70" i="11" s="1"/>
  <c r="L71" i="11" s="1"/>
  <c r="J71" i="11"/>
  <c r="K71" i="11" s="1"/>
  <c r="L72" i="11" s="1"/>
  <c r="J72" i="11"/>
  <c r="K72" i="11" s="1"/>
  <c r="L73" i="11" s="1"/>
  <c r="J73" i="11"/>
  <c r="K73" i="11" s="1"/>
  <c r="L74" i="11" s="1"/>
  <c r="J74" i="11"/>
  <c r="K74" i="11" s="1"/>
  <c r="J3" i="11"/>
  <c r="K3" i="11" s="1"/>
  <c r="L4" i="11" s="1"/>
  <c r="B82" i="10"/>
  <c r="B83" i="10"/>
  <c r="B84" i="10"/>
  <c r="B8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5" i="10"/>
  <c r="AQ118" i="1" l="1"/>
  <c r="AQ121" i="1"/>
  <c r="AQ120" i="1"/>
  <c r="AV38" i="4"/>
  <c r="AV39" i="4"/>
  <c r="AV40" i="4"/>
  <c r="AV41" i="4"/>
  <c r="AV42" i="4"/>
  <c r="AV43" i="4"/>
  <c r="AV44" i="4"/>
  <c r="AV45" i="4"/>
  <c r="AV46" i="4"/>
  <c r="AV51" i="4"/>
  <c r="AV52" i="4"/>
  <c r="AV53" i="4"/>
  <c r="AV54" i="4"/>
  <c r="AV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37" i="4"/>
  <c r="AT38" i="4"/>
  <c r="AT39" i="4"/>
  <c r="AT40" i="4"/>
  <c r="AT41" i="4"/>
  <c r="AT42" i="4"/>
  <c r="AT43" i="4"/>
  <c r="AT44" i="4"/>
  <c r="AT45" i="4"/>
  <c r="AT46" i="4"/>
  <c r="AT47" i="4"/>
  <c r="AV47" i="4" s="1"/>
  <c r="AT48" i="4"/>
  <c r="AV48" i="4" s="1"/>
  <c r="AT49" i="4"/>
  <c r="AV49" i="4" s="1"/>
  <c r="AT50" i="4"/>
  <c r="AV50" i="4" s="1"/>
  <c r="AT51" i="4"/>
  <c r="AT52" i="4"/>
  <c r="AT53" i="4"/>
  <c r="AT54" i="4"/>
  <c r="AT37" i="4"/>
  <c r="BA30" i="4"/>
  <c r="AZ30" i="4"/>
  <c r="AY30" i="4"/>
  <c r="AZ6" i="4"/>
  <c r="BA6" i="4"/>
  <c r="AZ7" i="4"/>
  <c r="BA7" i="4"/>
  <c r="AZ8" i="4"/>
  <c r="BA8" i="4"/>
  <c r="AZ9" i="4"/>
  <c r="BA9" i="4"/>
  <c r="AZ10" i="4"/>
  <c r="BA10" i="4"/>
  <c r="AZ11" i="4"/>
  <c r="BA11" i="4"/>
  <c r="AZ12" i="4"/>
  <c r="BA12" i="4"/>
  <c r="AZ13" i="4"/>
  <c r="BA13" i="4"/>
  <c r="AZ14" i="4"/>
  <c r="BA14" i="4"/>
  <c r="AZ15" i="4"/>
  <c r="BA15" i="4"/>
  <c r="AZ16" i="4"/>
  <c r="BA16" i="4"/>
  <c r="AZ17" i="4"/>
  <c r="BA17" i="4"/>
  <c r="AZ18" i="4"/>
  <c r="BA18" i="4"/>
  <c r="AZ19" i="4"/>
  <c r="BA19" i="4"/>
  <c r="AZ20" i="4"/>
  <c r="BA20" i="4"/>
  <c r="AZ21" i="4"/>
  <c r="BA21" i="4"/>
  <c r="AZ22" i="4"/>
  <c r="BA22" i="4"/>
  <c r="AZ23" i="4"/>
  <c r="BA23" i="4"/>
  <c r="AZ24" i="4"/>
  <c r="BA24" i="4"/>
  <c r="AZ25" i="4"/>
  <c r="BA25" i="4"/>
  <c r="AZ26" i="4"/>
  <c r="BA26" i="4"/>
  <c r="AZ27" i="4"/>
  <c r="BA27" i="4"/>
  <c r="AZ28" i="4"/>
  <c r="BA28" i="4"/>
  <c r="AZ29" i="4"/>
  <c r="BA29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6" i="4"/>
  <c r="U15" i="3" l="1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14" i="3"/>
  <c r="G91" i="3"/>
  <c r="G92" i="3"/>
  <c r="G93" i="3"/>
  <c r="G9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14" i="3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N70" i="9"/>
  <c r="G7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P70" i="9"/>
  <c r="I70" i="9"/>
  <c r="I72" i="9" l="1"/>
  <c r="I73" i="9"/>
  <c r="I74" i="9"/>
  <c r="I71" i="9"/>
  <c r="T10" i="9"/>
  <c r="T18" i="9"/>
  <c r="T26" i="9"/>
  <c r="T34" i="9"/>
  <c r="T42" i="9"/>
  <c r="T50" i="9"/>
  <c r="T58" i="9"/>
  <c r="T66" i="9"/>
  <c r="M6" i="9"/>
  <c r="M14" i="9"/>
  <c r="M22" i="9"/>
  <c r="M30" i="9"/>
  <c r="M38" i="9"/>
  <c r="M46" i="9"/>
  <c r="M54" i="9"/>
  <c r="M62" i="9"/>
  <c r="M70" i="9"/>
  <c r="F10" i="9"/>
  <c r="F18" i="9"/>
  <c r="F26" i="9"/>
  <c r="F34" i="9"/>
  <c r="F42" i="9"/>
  <c r="F50" i="9"/>
  <c r="F58" i="9"/>
  <c r="F66" i="9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T3" i="9" s="1"/>
  <c r="P24" i="3"/>
  <c r="T4" i="9" s="1"/>
  <c r="P25" i="3"/>
  <c r="T5" i="9" s="1"/>
  <c r="P26" i="3"/>
  <c r="T6" i="9" s="1"/>
  <c r="P27" i="3"/>
  <c r="T7" i="9" s="1"/>
  <c r="P28" i="3"/>
  <c r="T8" i="9" s="1"/>
  <c r="P29" i="3"/>
  <c r="T9" i="9" s="1"/>
  <c r="P30" i="3"/>
  <c r="P31" i="3"/>
  <c r="T11" i="9" s="1"/>
  <c r="P32" i="3"/>
  <c r="T12" i="9" s="1"/>
  <c r="P33" i="3"/>
  <c r="T13" i="9" s="1"/>
  <c r="P34" i="3"/>
  <c r="T14" i="9" s="1"/>
  <c r="P35" i="3"/>
  <c r="T15" i="9" s="1"/>
  <c r="P36" i="3"/>
  <c r="T16" i="9" s="1"/>
  <c r="P37" i="3"/>
  <c r="T17" i="9" s="1"/>
  <c r="P38" i="3"/>
  <c r="P39" i="3"/>
  <c r="T19" i="9" s="1"/>
  <c r="P40" i="3"/>
  <c r="T20" i="9" s="1"/>
  <c r="P41" i="3"/>
  <c r="T21" i="9" s="1"/>
  <c r="P42" i="3"/>
  <c r="T22" i="9" s="1"/>
  <c r="P43" i="3"/>
  <c r="T23" i="9" s="1"/>
  <c r="P44" i="3"/>
  <c r="T24" i="9" s="1"/>
  <c r="P45" i="3"/>
  <c r="T25" i="9" s="1"/>
  <c r="P46" i="3"/>
  <c r="P47" i="3"/>
  <c r="T27" i="9" s="1"/>
  <c r="P48" i="3"/>
  <c r="T28" i="9" s="1"/>
  <c r="P49" i="3"/>
  <c r="T29" i="9" s="1"/>
  <c r="P50" i="3"/>
  <c r="T30" i="9" s="1"/>
  <c r="P51" i="3"/>
  <c r="T31" i="9" s="1"/>
  <c r="P52" i="3"/>
  <c r="T32" i="9" s="1"/>
  <c r="P53" i="3"/>
  <c r="T33" i="9" s="1"/>
  <c r="P54" i="3"/>
  <c r="P55" i="3"/>
  <c r="T35" i="9" s="1"/>
  <c r="P56" i="3"/>
  <c r="T36" i="9" s="1"/>
  <c r="P57" i="3"/>
  <c r="T37" i="9" s="1"/>
  <c r="P58" i="3"/>
  <c r="T38" i="9" s="1"/>
  <c r="P59" i="3"/>
  <c r="T39" i="9" s="1"/>
  <c r="P60" i="3"/>
  <c r="T40" i="9" s="1"/>
  <c r="P61" i="3"/>
  <c r="T41" i="9" s="1"/>
  <c r="P62" i="3"/>
  <c r="P63" i="3"/>
  <c r="T43" i="9" s="1"/>
  <c r="P64" i="3"/>
  <c r="T44" i="9" s="1"/>
  <c r="P65" i="3"/>
  <c r="T45" i="9" s="1"/>
  <c r="P66" i="3"/>
  <c r="T46" i="9" s="1"/>
  <c r="P67" i="3"/>
  <c r="T47" i="9" s="1"/>
  <c r="P68" i="3"/>
  <c r="T48" i="9" s="1"/>
  <c r="P69" i="3"/>
  <c r="T49" i="9" s="1"/>
  <c r="P70" i="3"/>
  <c r="P71" i="3"/>
  <c r="T51" i="9" s="1"/>
  <c r="P72" i="3"/>
  <c r="T52" i="9" s="1"/>
  <c r="P73" i="3"/>
  <c r="T53" i="9" s="1"/>
  <c r="P74" i="3"/>
  <c r="T54" i="9" s="1"/>
  <c r="P75" i="3"/>
  <c r="T55" i="9" s="1"/>
  <c r="P76" i="3"/>
  <c r="T56" i="9" s="1"/>
  <c r="P77" i="3"/>
  <c r="T57" i="9" s="1"/>
  <c r="P78" i="3"/>
  <c r="P79" i="3"/>
  <c r="T59" i="9" s="1"/>
  <c r="P80" i="3"/>
  <c r="T60" i="9" s="1"/>
  <c r="P81" i="3"/>
  <c r="T61" i="9" s="1"/>
  <c r="P82" i="3"/>
  <c r="T62" i="9" s="1"/>
  <c r="P83" i="3"/>
  <c r="T63" i="9" s="1"/>
  <c r="P84" i="3"/>
  <c r="T64" i="9" s="1"/>
  <c r="P85" i="3"/>
  <c r="T65" i="9" s="1"/>
  <c r="P86" i="3"/>
  <c r="P87" i="3"/>
  <c r="T67" i="9" s="1"/>
  <c r="P88" i="3"/>
  <c r="T68" i="9" s="1"/>
  <c r="P89" i="3"/>
  <c r="T69" i="9" s="1"/>
  <c r="P90" i="3"/>
  <c r="T70" i="9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M3" i="9" s="1"/>
  <c r="I24" i="3"/>
  <c r="M4" i="9" s="1"/>
  <c r="I25" i="3"/>
  <c r="M5" i="9" s="1"/>
  <c r="I26" i="3"/>
  <c r="I27" i="3"/>
  <c r="M7" i="9" s="1"/>
  <c r="I28" i="3"/>
  <c r="M8" i="9" s="1"/>
  <c r="I29" i="3"/>
  <c r="M9" i="9" s="1"/>
  <c r="I30" i="3"/>
  <c r="M10" i="9" s="1"/>
  <c r="I31" i="3"/>
  <c r="M11" i="9" s="1"/>
  <c r="I32" i="3"/>
  <c r="M12" i="9" s="1"/>
  <c r="I33" i="3"/>
  <c r="M13" i="9" s="1"/>
  <c r="I34" i="3"/>
  <c r="I35" i="3"/>
  <c r="M15" i="9" s="1"/>
  <c r="I36" i="3"/>
  <c r="M16" i="9" s="1"/>
  <c r="I37" i="3"/>
  <c r="M17" i="9" s="1"/>
  <c r="I38" i="3"/>
  <c r="M18" i="9" s="1"/>
  <c r="I39" i="3"/>
  <c r="M19" i="9" s="1"/>
  <c r="I40" i="3"/>
  <c r="M20" i="9" s="1"/>
  <c r="I41" i="3"/>
  <c r="M21" i="9" s="1"/>
  <c r="I42" i="3"/>
  <c r="I43" i="3"/>
  <c r="M23" i="9" s="1"/>
  <c r="I44" i="3"/>
  <c r="M24" i="9" s="1"/>
  <c r="I45" i="3"/>
  <c r="M25" i="9" s="1"/>
  <c r="I46" i="3"/>
  <c r="M26" i="9" s="1"/>
  <c r="I47" i="3"/>
  <c r="M27" i="9" s="1"/>
  <c r="I48" i="3"/>
  <c r="M28" i="9" s="1"/>
  <c r="I49" i="3"/>
  <c r="M29" i="9" s="1"/>
  <c r="I50" i="3"/>
  <c r="I51" i="3"/>
  <c r="M31" i="9" s="1"/>
  <c r="I52" i="3"/>
  <c r="M32" i="9" s="1"/>
  <c r="I53" i="3"/>
  <c r="M33" i="9" s="1"/>
  <c r="I54" i="3"/>
  <c r="M34" i="9" s="1"/>
  <c r="I55" i="3"/>
  <c r="M35" i="9" s="1"/>
  <c r="I56" i="3"/>
  <c r="M36" i="9" s="1"/>
  <c r="I57" i="3"/>
  <c r="M37" i="9" s="1"/>
  <c r="I58" i="3"/>
  <c r="I59" i="3"/>
  <c r="M39" i="9" s="1"/>
  <c r="I60" i="3"/>
  <c r="M40" i="9" s="1"/>
  <c r="I61" i="3"/>
  <c r="M41" i="9" s="1"/>
  <c r="I62" i="3"/>
  <c r="M42" i="9" s="1"/>
  <c r="I63" i="3"/>
  <c r="M43" i="9" s="1"/>
  <c r="I64" i="3"/>
  <c r="M44" i="9" s="1"/>
  <c r="I65" i="3"/>
  <c r="M45" i="9" s="1"/>
  <c r="I66" i="3"/>
  <c r="I67" i="3"/>
  <c r="M47" i="9" s="1"/>
  <c r="I68" i="3"/>
  <c r="M48" i="9" s="1"/>
  <c r="I69" i="3"/>
  <c r="M49" i="9" s="1"/>
  <c r="I70" i="3"/>
  <c r="M50" i="9" s="1"/>
  <c r="I71" i="3"/>
  <c r="M51" i="9" s="1"/>
  <c r="I72" i="3"/>
  <c r="M52" i="9" s="1"/>
  <c r="I73" i="3"/>
  <c r="M53" i="9" s="1"/>
  <c r="I74" i="3"/>
  <c r="I75" i="3"/>
  <c r="M55" i="9" s="1"/>
  <c r="I76" i="3"/>
  <c r="M56" i="9" s="1"/>
  <c r="I77" i="3"/>
  <c r="M57" i="9" s="1"/>
  <c r="I78" i="3"/>
  <c r="M58" i="9" s="1"/>
  <c r="I79" i="3"/>
  <c r="M59" i="9" s="1"/>
  <c r="I80" i="3"/>
  <c r="M60" i="9" s="1"/>
  <c r="I81" i="3"/>
  <c r="M61" i="9" s="1"/>
  <c r="I82" i="3"/>
  <c r="I83" i="3"/>
  <c r="M63" i="9" s="1"/>
  <c r="I84" i="3"/>
  <c r="M64" i="9" s="1"/>
  <c r="I85" i="3"/>
  <c r="M65" i="9" s="1"/>
  <c r="I86" i="3"/>
  <c r="M66" i="9" s="1"/>
  <c r="I87" i="3"/>
  <c r="M67" i="9" s="1"/>
  <c r="I88" i="3"/>
  <c r="M68" i="9" s="1"/>
  <c r="I89" i="3"/>
  <c r="M69" i="9" s="1"/>
  <c r="I90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3" i="9" s="1"/>
  <c r="B24" i="3"/>
  <c r="F4" i="9" s="1"/>
  <c r="B25" i="3"/>
  <c r="F5" i="9" s="1"/>
  <c r="B26" i="3"/>
  <c r="F6" i="9" s="1"/>
  <c r="B27" i="3"/>
  <c r="F7" i="9" s="1"/>
  <c r="B28" i="3"/>
  <c r="F8" i="9" s="1"/>
  <c r="B29" i="3"/>
  <c r="F9" i="9" s="1"/>
  <c r="B30" i="3"/>
  <c r="B31" i="3"/>
  <c r="F11" i="9" s="1"/>
  <c r="B32" i="3"/>
  <c r="F12" i="9" s="1"/>
  <c r="B33" i="3"/>
  <c r="F13" i="9" s="1"/>
  <c r="B34" i="3"/>
  <c r="F14" i="9" s="1"/>
  <c r="B35" i="3"/>
  <c r="F15" i="9" s="1"/>
  <c r="B36" i="3"/>
  <c r="F16" i="9" s="1"/>
  <c r="B37" i="3"/>
  <c r="F17" i="9" s="1"/>
  <c r="B38" i="3"/>
  <c r="B39" i="3"/>
  <c r="F19" i="9" s="1"/>
  <c r="B40" i="3"/>
  <c r="F20" i="9" s="1"/>
  <c r="B41" i="3"/>
  <c r="F21" i="9" s="1"/>
  <c r="B42" i="3"/>
  <c r="F22" i="9" s="1"/>
  <c r="B43" i="3"/>
  <c r="F23" i="9" s="1"/>
  <c r="B44" i="3"/>
  <c r="F24" i="9" s="1"/>
  <c r="B45" i="3"/>
  <c r="F25" i="9" s="1"/>
  <c r="B46" i="3"/>
  <c r="B47" i="3"/>
  <c r="F27" i="9" s="1"/>
  <c r="B48" i="3"/>
  <c r="F28" i="9" s="1"/>
  <c r="B49" i="3"/>
  <c r="F29" i="9" s="1"/>
  <c r="B50" i="3"/>
  <c r="F30" i="9" s="1"/>
  <c r="B51" i="3"/>
  <c r="F31" i="9" s="1"/>
  <c r="B52" i="3"/>
  <c r="F32" i="9" s="1"/>
  <c r="B53" i="3"/>
  <c r="F33" i="9" s="1"/>
  <c r="B54" i="3"/>
  <c r="B55" i="3"/>
  <c r="F35" i="9" s="1"/>
  <c r="B56" i="3"/>
  <c r="F36" i="9" s="1"/>
  <c r="B57" i="3"/>
  <c r="F37" i="9" s="1"/>
  <c r="B58" i="3"/>
  <c r="F38" i="9" s="1"/>
  <c r="B59" i="3"/>
  <c r="F39" i="9" s="1"/>
  <c r="B60" i="3"/>
  <c r="F40" i="9" s="1"/>
  <c r="B61" i="3"/>
  <c r="F41" i="9" s="1"/>
  <c r="B62" i="3"/>
  <c r="B63" i="3"/>
  <c r="F43" i="9" s="1"/>
  <c r="B64" i="3"/>
  <c r="F44" i="9" s="1"/>
  <c r="B65" i="3"/>
  <c r="F45" i="9" s="1"/>
  <c r="B66" i="3"/>
  <c r="F46" i="9" s="1"/>
  <c r="B67" i="3"/>
  <c r="F47" i="9" s="1"/>
  <c r="B68" i="3"/>
  <c r="F48" i="9" s="1"/>
  <c r="B69" i="3"/>
  <c r="F49" i="9" s="1"/>
  <c r="B70" i="3"/>
  <c r="B71" i="3"/>
  <c r="F51" i="9" s="1"/>
  <c r="B72" i="3"/>
  <c r="F52" i="9" s="1"/>
  <c r="B73" i="3"/>
  <c r="F53" i="9" s="1"/>
  <c r="B74" i="3"/>
  <c r="F54" i="9" s="1"/>
  <c r="B75" i="3"/>
  <c r="F55" i="9" s="1"/>
  <c r="B76" i="3"/>
  <c r="F56" i="9" s="1"/>
  <c r="B77" i="3"/>
  <c r="F57" i="9" s="1"/>
  <c r="B78" i="3"/>
  <c r="B79" i="3"/>
  <c r="F59" i="9" s="1"/>
  <c r="B80" i="3"/>
  <c r="F60" i="9" s="1"/>
  <c r="B81" i="3"/>
  <c r="F61" i="9" s="1"/>
  <c r="B82" i="3"/>
  <c r="F62" i="9" s="1"/>
  <c r="B83" i="3"/>
  <c r="F63" i="9" s="1"/>
  <c r="B84" i="3"/>
  <c r="F64" i="9" s="1"/>
  <c r="B85" i="3"/>
  <c r="F65" i="9" s="1"/>
  <c r="B86" i="3"/>
  <c r="B87" i="3"/>
  <c r="F67" i="9" s="1"/>
  <c r="B88" i="3"/>
  <c r="F68" i="9" s="1"/>
  <c r="B89" i="3"/>
  <c r="F69" i="9" s="1"/>
  <c r="B90" i="3"/>
  <c r="F70" i="9" s="1"/>
  <c r="Q94" i="3"/>
  <c r="C94" i="3"/>
  <c r="U3" i="9"/>
  <c r="P3" i="9"/>
  <c r="W3" i="9" s="1"/>
  <c r="P4" i="9"/>
  <c r="W4" i="9" s="1"/>
  <c r="U4" i="9"/>
  <c r="P5" i="9"/>
  <c r="P71" i="9"/>
  <c r="W71" i="9"/>
  <c r="P72" i="9"/>
  <c r="W72" i="9"/>
  <c r="P73" i="9"/>
  <c r="W73" i="9"/>
  <c r="P74" i="9"/>
  <c r="W74" i="9"/>
  <c r="Y127" i="7"/>
  <c r="W127" i="7"/>
  <c r="Z126" i="7"/>
  <c r="X126" i="7"/>
  <c r="W126" i="7"/>
  <c r="Y125" i="7"/>
  <c r="W125" i="7"/>
  <c r="Z124" i="7"/>
  <c r="X124" i="7"/>
  <c r="W124" i="7"/>
  <c r="Y123" i="7"/>
  <c r="X123" i="7"/>
  <c r="W123" i="7"/>
  <c r="X122" i="7"/>
  <c r="W122" i="7"/>
  <c r="Z121" i="7"/>
  <c r="AA121" i="7" s="1"/>
  <c r="Y121" i="7"/>
  <c r="W121" i="7"/>
  <c r="Z120" i="7"/>
  <c r="AA120" i="7" s="1"/>
  <c r="X120" i="7"/>
  <c r="W120" i="7"/>
  <c r="Y119" i="7"/>
  <c r="W119" i="7"/>
  <c r="Z118" i="7"/>
  <c r="X118" i="7"/>
  <c r="W118" i="7"/>
  <c r="Y117" i="7"/>
  <c r="W117" i="7"/>
  <c r="Z116" i="7"/>
  <c r="X116" i="7"/>
  <c r="W116" i="7"/>
  <c r="C110" i="7"/>
  <c r="Z127" i="7" s="1"/>
  <c r="AA127" i="7" s="1"/>
  <c r="B110" i="7"/>
  <c r="A110" i="7"/>
  <c r="X127" i="7" s="1"/>
  <c r="C109" i="7"/>
  <c r="B109" i="7"/>
  <c r="Y126" i="7" s="1"/>
  <c r="A109" i="7"/>
  <c r="C108" i="7"/>
  <c r="Z125" i="7" s="1"/>
  <c r="B108" i="7"/>
  <c r="A108" i="7"/>
  <c r="X125" i="7" s="1"/>
  <c r="C107" i="7"/>
  <c r="B107" i="7"/>
  <c r="Y124" i="7" s="1"/>
  <c r="AA124" i="7" s="1"/>
  <c r="A107" i="7"/>
  <c r="C106" i="7"/>
  <c r="Z123" i="7" s="1"/>
  <c r="AA123" i="7" s="1"/>
  <c r="B106" i="7"/>
  <c r="A106" i="7"/>
  <c r="C105" i="7"/>
  <c r="Z122" i="7" s="1"/>
  <c r="B105" i="7"/>
  <c r="Y122" i="7" s="1"/>
  <c r="A105" i="7"/>
  <c r="C104" i="7"/>
  <c r="B104" i="7"/>
  <c r="A104" i="7"/>
  <c r="X121" i="7" s="1"/>
  <c r="C103" i="7"/>
  <c r="B103" i="7"/>
  <c r="Y120" i="7" s="1"/>
  <c r="A103" i="7"/>
  <c r="C102" i="7"/>
  <c r="Z119" i="7" s="1"/>
  <c r="AA119" i="7" s="1"/>
  <c r="B102" i="7"/>
  <c r="A102" i="7"/>
  <c r="X119" i="7" s="1"/>
  <c r="C101" i="7"/>
  <c r="B101" i="7"/>
  <c r="Y118" i="7" s="1"/>
  <c r="A101" i="7"/>
  <c r="C100" i="7"/>
  <c r="Z117" i="7" s="1"/>
  <c r="B100" i="7"/>
  <c r="A100" i="7"/>
  <c r="X117" i="7" s="1"/>
  <c r="C99" i="7"/>
  <c r="B99" i="7"/>
  <c r="Y116" i="7" s="1"/>
  <c r="A99" i="7"/>
  <c r="C98" i="7"/>
  <c r="B98" i="7"/>
  <c r="A98" i="7"/>
  <c r="J82" i="7"/>
  <c r="G82" i="7"/>
  <c r="J94" i="3" s="1"/>
  <c r="C82" i="7"/>
  <c r="B82" i="7"/>
  <c r="B81" i="7"/>
  <c r="G80" i="7"/>
  <c r="J92" i="3" s="1"/>
  <c r="D80" i="7"/>
  <c r="B80" i="7"/>
  <c r="J79" i="7"/>
  <c r="Q91" i="3" s="1"/>
  <c r="G79" i="7"/>
  <c r="J91" i="3" s="1"/>
  <c r="C79" i="7"/>
  <c r="C91" i="3" s="1"/>
  <c r="B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R135" i="5"/>
  <c r="O135" i="5"/>
  <c r="N135" i="5"/>
  <c r="M135" i="5"/>
  <c r="L135" i="5"/>
  <c r="K135" i="5"/>
  <c r="J135" i="5"/>
  <c r="I135" i="5"/>
  <c r="H135" i="5"/>
  <c r="G135" i="5"/>
  <c r="E135" i="5"/>
  <c r="D135" i="5"/>
  <c r="C135" i="5"/>
  <c r="BS110" i="5"/>
  <c r="P96" i="5"/>
  <c r="O96" i="5"/>
  <c r="E96" i="5"/>
  <c r="D96" i="5"/>
  <c r="P95" i="5"/>
  <c r="O95" i="5"/>
  <c r="E95" i="5"/>
  <c r="D95" i="5"/>
  <c r="P94" i="5"/>
  <c r="O94" i="5"/>
  <c r="E94" i="5"/>
  <c r="D94" i="5"/>
  <c r="K93" i="5"/>
  <c r="P91" i="5"/>
  <c r="O91" i="5"/>
  <c r="E91" i="5"/>
  <c r="D91" i="5"/>
  <c r="P90" i="5"/>
  <c r="O90" i="5"/>
  <c r="E90" i="5"/>
  <c r="D90" i="5"/>
  <c r="P89" i="5"/>
  <c r="O89" i="5"/>
  <c r="E89" i="5"/>
  <c r="D89" i="5"/>
  <c r="P86" i="5"/>
  <c r="O86" i="5"/>
  <c r="E86" i="5"/>
  <c r="D86" i="5"/>
  <c r="P85" i="5"/>
  <c r="O85" i="5"/>
  <c r="E85" i="5"/>
  <c r="D85" i="5"/>
  <c r="AM84" i="5"/>
  <c r="AI84" i="5"/>
  <c r="AH84" i="5"/>
  <c r="AG84" i="5"/>
  <c r="AF84" i="5"/>
  <c r="P84" i="5"/>
  <c r="O84" i="5"/>
  <c r="E84" i="5"/>
  <c r="D84" i="5"/>
  <c r="T82" i="5"/>
  <c r="S82" i="5"/>
  <c r="T81" i="5"/>
  <c r="S81" i="5"/>
  <c r="T80" i="5"/>
  <c r="S80" i="5"/>
  <c r="T79" i="5"/>
  <c r="S79" i="5"/>
  <c r="T78" i="5"/>
  <c r="D80" i="10" s="1"/>
  <c r="S78" i="5"/>
  <c r="T77" i="5"/>
  <c r="S77" i="5"/>
  <c r="T76" i="5"/>
  <c r="S76" i="5"/>
  <c r="T75" i="5"/>
  <c r="S75" i="5"/>
  <c r="T74" i="5"/>
  <c r="D76" i="10" s="1"/>
  <c r="S74" i="5"/>
  <c r="T73" i="5"/>
  <c r="S73" i="5"/>
  <c r="T72" i="5"/>
  <c r="S72" i="5"/>
  <c r="T71" i="5"/>
  <c r="S71" i="5"/>
  <c r="T70" i="5"/>
  <c r="D72" i="10" s="1"/>
  <c r="S70" i="5"/>
  <c r="T69" i="5"/>
  <c r="S69" i="5"/>
  <c r="T68" i="5"/>
  <c r="S68" i="5"/>
  <c r="T67" i="5"/>
  <c r="S67" i="5"/>
  <c r="T66" i="5"/>
  <c r="D68" i="10" s="1"/>
  <c r="S66" i="5"/>
  <c r="T65" i="5"/>
  <c r="S65" i="5"/>
  <c r="T64" i="5"/>
  <c r="S64" i="5"/>
  <c r="T63" i="5"/>
  <c r="S63" i="5"/>
  <c r="T62" i="5"/>
  <c r="D64" i="10" s="1"/>
  <c r="S62" i="5"/>
  <c r="T61" i="5"/>
  <c r="S61" i="5"/>
  <c r="T60" i="5"/>
  <c r="S60" i="5"/>
  <c r="T59" i="5"/>
  <c r="S59" i="5"/>
  <c r="T58" i="5"/>
  <c r="D60" i="10" s="1"/>
  <c r="S58" i="5"/>
  <c r="T57" i="5"/>
  <c r="S57" i="5"/>
  <c r="T56" i="5"/>
  <c r="S56" i="5"/>
  <c r="T55" i="5"/>
  <c r="S55" i="5"/>
  <c r="T54" i="5"/>
  <c r="D56" i="10" s="1"/>
  <c r="S54" i="5"/>
  <c r="T53" i="5"/>
  <c r="S53" i="5"/>
  <c r="T52" i="5"/>
  <c r="S52" i="5"/>
  <c r="T51" i="5"/>
  <c r="S51" i="5"/>
  <c r="T50" i="5"/>
  <c r="D52" i="10" s="1"/>
  <c r="S50" i="5"/>
  <c r="T49" i="5"/>
  <c r="S49" i="5"/>
  <c r="T48" i="5"/>
  <c r="S48" i="5"/>
  <c r="T47" i="5"/>
  <c r="S47" i="5"/>
  <c r="T46" i="5"/>
  <c r="D48" i="10" s="1"/>
  <c r="S46" i="5"/>
  <c r="T45" i="5"/>
  <c r="S45" i="5"/>
  <c r="T44" i="5"/>
  <c r="S44" i="5"/>
  <c r="T43" i="5"/>
  <c r="S43" i="5"/>
  <c r="T42" i="5"/>
  <c r="D44" i="10" s="1"/>
  <c r="S42" i="5"/>
  <c r="T41" i="5"/>
  <c r="S41" i="5"/>
  <c r="T40" i="5"/>
  <c r="S40" i="5"/>
  <c r="T39" i="5"/>
  <c r="S39" i="5"/>
  <c r="T38" i="5"/>
  <c r="D40" i="10" s="1"/>
  <c r="S38" i="5"/>
  <c r="T37" i="5"/>
  <c r="S37" i="5"/>
  <c r="T36" i="5"/>
  <c r="S36" i="5"/>
  <c r="T35" i="5"/>
  <c r="S35" i="5"/>
  <c r="T34" i="5"/>
  <c r="D36" i="10" s="1"/>
  <c r="S34" i="5"/>
  <c r="T33" i="5"/>
  <c r="S33" i="5"/>
  <c r="T32" i="5"/>
  <c r="S32" i="5"/>
  <c r="T31" i="5"/>
  <c r="S31" i="5"/>
  <c r="T30" i="5"/>
  <c r="D32" i="10" s="1"/>
  <c r="S30" i="5"/>
  <c r="T29" i="5"/>
  <c r="S29" i="5"/>
  <c r="T28" i="5"/>
  <c r="S28" i="5"/>
  <c r="T27" i="5"/>
  <c r="S27" i="5"/>
  <c r="T26" i="5"/>
  <c r="D28" i="10" s="1"/>
  <c r="S26" i="5"/>
  <c r="T25" i="5"/>
  <c r="S25" i="5"/>
  <c r="T24" i="5"/>
  <c r="S24" i="5"/>
  <c r="T23" i="5"/>
  <c r="S23" i="5"/>
  <c r="T22" i="5"/>
  <c r="D24" i="10" s="1"/>
  <c r="S22" i="5"/>
  <c r="T21" i="5"/>
  <c r="S21" i="5"/>
  <c r="T20" i="5"/>
  <c r="S20" i="5"/>
  <c r="T19" i="5"/>
  <c r="S19" i="5"/>
  <c r="T18" i="5"/>
  <c r="D20" i="10" s="1"/>
  <c r="S18" i="5"/>
  <c r="T17" i="5"/>
  <c r="S17" i="5"/>
  <c r="T16" i="5"/>
  <c r="S16" i="5"/>
  <c r="T15" i="5"/>
  <c r="S15" i="5"/>
  <c r="T14" i="5"/>
  <c r="D16" i="10" s="1"/>
  <c r="S14" i="5"/>
  <c r="T13" i="5"/>
  <c r="S13" i="5"/>
  <c r="T12" i="5"/>
  <c r="S12" i="5"/>
  <c r="T11" i="5"/>
  <c r="S11" i="5"/>
  <c r="T10" i="5"/>
  <c r="D12" i="10" s="1"/>
  <c r="S10" i="5"/>
  <c r="T9" i="5"/>
  <c r="S9" i="5"/>
  <c r="T8" i="5"/>
  <c r="S8" i="5"/>
  <c r="T7" i="5"/>
  <c r="S7" i="5"/>
  <c r="T6" i="5"/>
  <c r="D8" i="10" s="1"/>
  <c r="S6" i="5"/>
  <c r="T5" i="5"/>
  <c r="S5" i="5"/>
  <c r="T4" i="5"/>
  <c r="S4" i="5"/>
  <c r="T3" i="5"/>
  <c r="S3" i="5"/>
  <c r="L115" i="4"/>
  <c r="K115" i="4"/>
  <c r="E115" i="4"/>
  <c r="D115" i="4"/>
  <c r="C115" i="4"/>
  <c r="F115" i="4" s="1"/>
  <c r="AA114" i="4"/>
  <c r="Z114" i="4"/>
  <c r="L114" i="4"/>
  <c r="K114" i="4"/>
  <c r="E114" i="4"/>
  <c r="D114" i="4"/>
  <c r="C114" i="4"/>
  <c r="F114" i="4" s="1"/>
  <c r="AA113" i="4"/>
  <c r="Z113" i="4"/>
  <c r="L113" i="4"/>
  <c r="M113" i="4" s="1"/>
  <c r="K113" i="4"/>
  <c r="E113" i="4"/>
  <c r="D113" i="4"/>
  <c r="C113" i="4"/>
  <c r="F113" i="4" s="1"/>
  <c r="AA112" i="4"/>
  <c r="Z112" i="4"/>
  <c r="L112" i="4"/>
  <c r="K112" i="4"/>
  <c r="E112" i="4"/>
  <c r="D112" i="4"/>
  <c r="C112" i="4"/>
  <c r="F112" i="4" s="1"/>
  <c r="AA111" i="4"/>
  <c r="Z111" i="4"/>
  <c r="L111" i="4"/>
  <c r="K111" i="4"/>
  <c r="E111" i="4"/>
  <c r="D111" i="4"/>
  <c r="C111" i="4"/>
  <c r="AA110" i="4"/>
  <c r="Z110" i="4"/>
  <c r="L110" i="4"/>
  <c r="K110" i="4"/>
  <c r="E110" i="4"/>
  <c r="D110" i="4"/>
  <c r="C110" i="4"/>
  <c r="AA109" i="4"/>
  <c r="Z109" i="4"/>
  <c r="L109" i="4"/>
  <c r="K109" i="4"/>
  <c r="E109" i="4"/>
  <c r="D109" i="4"/>
  <c r="C109" i="4"/>
  <c r="AA108" i="4"/>
  <c r="Z108" i="4"/>
  <c r="L108" i="4"/>
  <c r="M108" i="4" s="1"/>
  <c r="K108" i="4"/>
  <c r="E108" i="4"/>
  <c r="D108" i="4"/>
  <c r="C108" i="4"/>
  <c r="F108" i="4" s="1"/>
  <c r="AA107" i="4"/>
  <c r="Z107" i="4"/>
  <c r="L107" i="4"/>
  <c r="K107" i="4"/>
  <c r="E107" i="4"/>
  <c r="D107" i="4"/>
  <c r="C107" i="4"/>
  <c r="F107" i="4" s="1"/>
  <c r="AA106" i="4"/>
  <c r="Z106" i="4"/>
  <c r="L106" i="4"/>
  <c r="K106" i="4"/>
  <c r="E106" i="4"/>
  <c r="D106" i="4"/>
  <c r="C106" i="4"/>
  <c r="AA105" i="4"/>
  <c r="Z105" i="4"/>
  <c r="E105" i="4"/>
  <c r="D105" i="4"/>
  <c r="C105" i="4"/>
  <c r="E104" i="4"/>
  <c r="D104" i="4"/>
  <c r="C104" i="4"/>
  <c r="F104" i="4" s="1"/>
  <c r="E103" i="4"/>
  <c r="D103" i="4"/>
  <c r="G103" i="4" s="1"/>
  <c r="C103" i="4"/>
  <c r="E102" i="4"/>
  <c r="D102" i="4"/>
  <c r="C102" i="4"/>
  <c r="F102" i="4" s="1"/>
  <c r="E101" i="4"/>
  <c r="D101" i="4"/>
  <c r="C101" i="4"/>
  <c r="E100" i="4"/>
  <c r="D100" i="4"/>
  <c r="C100" i="4"/>
  <c r="E99" i="4"/>
  <c r="D99" i="4"/>
  <c r="G99" i="4" s="1"/>
  <c r="C99" i="4"/>
  <c r="E98" i="4"/>
  <c r="D98" i="4"/>
  <c r="G98" i="4" s="1"/>
  <c r="C98" i="4"/>
  <c r="F98" i="4" s="1"/>
  <c r="E94" i="4"/>
  <c r="AB76" i="4"/>
  <c r="Z76" i="4"/>
  <c r="Y76" i="4"/>
  <c r="X76" i="4"/>
  <c r="W76" i="4"/>
  <c r="AC76" i="4" s="1"/>
  <c r="V76" i="4"/>
  <c r="U76" i="4"/>
  <c r="S76" i="4"/>
  <c r="R76" i="4"/>
  <c r="Q76" i="4"/>
  <c r="P76" i="4"/>
  <c r="O76" i="4"/>
  <c r="M76" i="4"/>
  <c r="L76" i="4"/>
  <c r="H76" i="4"/>
  <c r="AC75" i="4"/>
  <c r="G75" i="4"/>
  <c r="G76" i="4" s="1"/>
  <c r="D75" i="4"/>
  <c r="AC74" i="4"/>
  <c r="K74" i="4"/>
  <c r="T74" i="4" s="1"/>
  <c r="AD74" i="4" s="1"/>
  <c r="D74" i="4"/>
  <c r="AC73" i="4"/>
  <c r="T73" i="4"/>
  <c r="AD73" i="4" s="1"/>
  <c r="K73" i="4"/>
  <c r="D73" i="4"/>
  <c r="AC72" i="4"/>
  <c r="K72" i="4"/>
  <c r="D72" i="4"/>
  <c r="AC71" i="4"/>
  <c r="K71" i="4"/>
  <c r="T71" i="4" s="1"/>
  <c r="D71" i="4"/>
  <c r="AC70" i="4"/>
  <c r="K70" i="4"/>
  <c r="T70" i="4" s="1"/>
  <c r="AD70" i="4" s="1"/>
  <c r="D70" i="4"/>
  <c r="AC69" i="4"/>
  <c r="K69" i="4"/>
  <c r="T69" i="4" s="1"/>
  <c r="AD69" i="4" s="1"/>
  <c r="D69" i="4"/>
  <c r="AC68" i="4"/>
  <c r="K68" i="4"/>
  <c r="D68" i="4"/>
  <c r="AC67" i="4"/>
  <c r="K67" i="4"/>
  <c r="T67" i="4" s="1"/>
  <c r="D67" i="4"/>
  <c r="AC66" i="4"/>
  <c r="K66" i="4"/>
  <c r="T66" i="4" s="1"/>
  <c r="AD66" i="4" s="1"/>
  <c r="D66" i="4"/>
  <c r="AC65" i="4"/>
  <c r="T65" i="4"/>
  <c r="AD65" i="4" s="1"/>
  <c r="K65" i="4"/>
  <c r="D65" i="4"/>
  <c r="AC64" i="4"/>
  <c r="K64" i="4"/>
  <c r="D64" i="4"/>
  <c r="AC63" i="4"/>
  <c r="K63" i="4"/>
  <c r="T63" i="4" s="1"/>
  <c r="AD63" i="4" s="1"/>
  <c r="D63" i="4"/>
  <c r="AC62" i="4"/>
  <c r="K62" i="4"/>
  <c r="T62" i="4" s="1"/>
  <c r="AD62" i="4" s="1"/>
  <c r="D62" i="4"/>
  <c r="AC61" i="4"/>
  <c r="T61" i="4"/>
  <c r="AD61" i="4" s="1"/>
  <c r="K61" i="4"/>
  <c r="D61" i="4"/>
  <c r="AC60" i="4"/>
  <c r="K60" i="4"/>
  <c r="T60" i="4" s="1"/>
  <c r="AD60" i="4" s="1"/>
  <c r="D60" i="4"/>
  <c r="AC59" i="4"/>
  <c r="K59" i="4"/>
  <c r="T59" i="4" s="1"/>
  <c r="D59" i="4"/>
  <c r="AD58" i="4"/>
  <c r="AC58" i="4"/>
  <c r="K58" i="4"/>
  <c r="T58" i="4" s="1"/>
  <c r="D58" i="4"/>
  <c r="AB50" i="4"/>
  <c r="Z50" i="4"/>
  <c r="Y50" i="4"/>
  <c r="X50" i="4"/>
  <c r="W50" i="4"/>
  <c r="V50" i="4"/>
  <c r="U50" i="4"/>
  <c r="S50" i="4"/>
  <c r="R50" i="4"/>
  <c r="Q50" i="4"/>
  <c r="P50" i="4"/>
  <c r="O50" i="4"/>
  <c r="M50" i="4"/>
  <c r="L50" i="4"/>
  <c r="H50" i="4"/>
  <c r="AC49" i="4"/>
  <c r="D49" i="4"/>
  <c r="AC48" i="4"/>
  <c r="T48" i="4"/>
  <c r="K48" i="4"/>
  <c r="D48" i="4"/>
  <c r="AC47" i="4"/>
  <c r="T47" i="4"/>
  <c r="AD47" i="4" s="1"/>
  <c r="K47" i="4"/>
  <c r="D47" i="4"/>
  <c r="AD46" i="4"/>
  <c r="AC46" i="4"/>
  <c r="T46" i="4"/>
  <c r="K46" i="4"/>
  <c r="D46" i="4"/>
  <c r="AC45" i="4"/>
  <c r="K45" i="4"/>
  <c r="D45" i="4"/>
  <c r="T45" i="4" s="1"/>
  <c r="AD45" i="4" s="1"/>
  <c r="AC44" i="4"/>
  <c r="K44" i="4"/>
  <c r="D44" i="4"/>
  <c r="T44" i="4" s="1"/>
  <c r="AD44" i="4" s="1"/>
  <c r="AC43" i="4"/>
  <c r="T43" i="4"/>
  <c r="AD43" i="4" s="1"/>
  <c r="K43" i="4"/>
  <c r="D43" i="4"/>
  <c r="AC42" i="4"/>
  <c r="T42" i="4"/>
  <c r="AD42" i="4" s="1"/>
  <c r="K42" i="4"/>
  <c r="D42" i="4"/>
  <c r="AC41" i="4"/>
  <c r="K41" i="4"/>
  <c r="D41" i="4"/>
  <c r="T41" i="4" s="1"/>
  <c r="AD41" i="4" s="1"/>
  <c r="AC40" i="4"/>
  <c r="T40" i="4"/>
  <c r="AD40" i="4" s="1"/>
  <c r="K40" i="4"/>
  <c r="D40" i="4"/>
  <c r="AC39" i="4"/>
  <c r="T39" i="4"/>
  <c r="AD39" i="4" s="1"/>
  <c r="K39" i="4"/>
  <c r="D39" i="4"/>
  <c r="AD38" i="4"/>
  <c r="AC38" i="4"/>
  <c r="T38" i="4"/>
  <c r="K38" i="4"/>
  <c r="D38" i="4"/>
  <c r="AC37" i="4"/>
  <c r="T37" i="4"/>
  <c r="AD37" i="4" s="1"/>
  <c r="K37" i="4"/>
  <c r="D37" i="4"/>
  <c r="AC36" i="4"/>
  <c r="T36" i="4"/>
  <c r="AD36" i="4" s="1"/>
  <c r="K36" i="4"/>
  <c r="D36" i="4"/>
  <c r="AC35" i="4"/>
  <c r="K35" i="4"/>
  <c r="T35" i="4" s="1"/>
  <c r="AD35" i="4" s="1"/>
  <c r="D35" i="4"/>
  <c r="AD34" i="4"/>
  <c r="AC34" i="4"/>
  <c r="K34" i="4"/>
  <c r="D34" i="4"/>
  <c r="T34" i="4" s="1"/>
  <c r="AC33" i="4"/>
  <c r="K33" i="4"/>
  <c r="D33" i="4"/>
  <c r="T33" i="4" s="1"/>
  <c r="AD33" i="4" s="1"/>
  <c r="AD32" i="4"/>
  <c r="AC32" i="4"/>
  <c r="T32" i="4"/>
  <c r="K32" i="4"/>
  <c r="D32" i="4"/>
  <c r="Z24" i="4"/>
  <c r="Y24" i="4"/>
  <c r="X24" i="4"/>
  <c r="W24" i="4"/>
  <c r="V24" i="4"/>
  <c r="AC24" i="4"/>
  <c r="S24" i="4"/>
  <c r="R24" i="4"/>
  <c r="Q24" i="4"/>
  <c r="P24" i="4"/>
  <c r="O24" i="4"/>
  <c r="M24" i="4"/>
  <c r="L24" i="4"/>
  <c r="H24" i="4"/>
  <c r="AC23" i="4"/>
  <c r="G23" i="4"/>
  <c r="G24" i="4" s="1"/>
  <c r="F23" i="4"/>
  <c r="F24" i="4" s="1"/>
  <c r="D23" i="4"/>
  <c r="AC22" i="4"/>
  <c r="T22" i="4"/>
  <c r="AD22" i="4" s="1"/>
  <c r="K22" i="4"/>
  <c r="D22" i="4"/>
  <c r="AC21" i="4"/>
  <c r="K21" i="4"/>
  <c r="T21" i="4" s="1"/>
  <c r="AD21" i="4" s="1"/>
  <c r="D21" i="4"/>
  <c r="AC20" i="4"/>
  <c r="T20" i="4"/>
  <c r="AD20" i="4" s="1"/>
  <c r="K20" i="4"/>
  <c r="D20" i="4"/>
  <c r="AC19" i="4"/>
  <c r="K19" i="4"/>
  <c r="T19" i="4" s="1"/>
  <c r="AD19" i="4" s="1"/>
  <c r="D19" i="4"/>
  <c r="AC18" i="4"/>
  <c r="K18" i="4"/>
  <c r="D18" i="4"/>
  <c r="T18" i="4" s="1"/>
  <c r="AD18" i="4" s="1"/>
  <c r="AC17" i="4"/>
  <c r="K17" i="4"/>
  <c r="T17" i="4" s="1"/>
  <c r="AD17" i="4" s="1"/>
  <c r="D17" i="4"/>
  <c r="AC16" i="4"/>
  <c r="T16" i="4"/>
  <c r="AD16" i="4" s="1"/>
  <c r="K16" i="4"/>
  <c r="D16" i="4"/>
  <c r="AC15" i="4"/>
  <c r="T15" i="4"/>
  <c r="AD15" i="4" s="1"/>
  <c r="K15" i="4"/>
  <c r="D15" i="4"/>
  <c r="AC14" i="4"/>
  <c r="T14" i="4"/>
  <c r="K14" i="4"/>
  <c r="D14" i="4"/>
  <c r="AC13" i="4"/>
  <c r="K13" i="4"/>
  <c r="T13" i="4" s="1"/>
  <c r="AD13" i="4" s="1"/>
  <c r="D13" i="4"/>
  <c r="AC12" i="4"/>
  <c r="K12" i="4"/>
  <c r="D12" i="4"/>
  <c r="T12" i="4" s="1"/>
  <c r="AD12" i="4" s="1"/>
  <c r="AC11" i="4"/>
  <c r="K11" i="4"/>
  <c r="T11" i="4" s="1"/>
  <c r="AD11" i="4" s="1"/>
  <c r="D11" i="4"/>
  <c r="AD10" i="4"/>
  <c r="AC10" i="4"/>
  <c r="T10" i="4"/>
  <c r="K10" i="4"/>
  <c r="D10" i="4"/>
  <c r="AC9" i="4"/>
  <c r="K9" i="4"/>
  <c r="T9" i="4" s="1"/>
  <c r="D9" i="4"/>
  <c r="AC8" i="4"/>
  <c r="K8" i="4"/>
  <c r="T8" i="4" s="1"/>
  <c r="AD8" i="4" s="1"/>
  <c r="D8" i="4"/>
  <c r="AC7" i="4"/>
  <c r="K7" i="4"/>
  <c r="T7" i="4" s="1"/>
  <c r="AD7" i="4" s="1"/>
  <c r="D7" i="4"/>
  <c r="AC6" i="4"/>
  <c r="K6" i="4"/>
  <c r="D6" i="4"/>
  <c r="T6" i="4" s="1"/>
  <c r="AD6" i="4" s="1"/>
  <c r="V90" i="3"/>
  <c r="O90" i="3"/>
  <c r="H90" i="3"/>
  <c r="V89" i="3"/>
  <c r="O89" i="3"/>
  <c r="H89" i="3"/>
  <c r="V88" i="3"/>
  <c r="O88" i="3"/>
  <c r="H88" i="3"/>
  <c r="V87" i="3"/>
  <c r="O87" i="3"/>
  <c r="H87" i="3"/>
  <c r="V86" i="3"/>
  <c r="O86" i="3"/>
  <c r="H86" i="3"/>
  <c r="V85" i="3"/>
  <c r="O85" i="3"/>
  <c r="H85" i="3"/>
  <c r="V84" i="3"/>
  <c r="O84" i="3"/>
  <c r="H84" i="3"/>
  <c r="V83" i="3"/>
  <c r="O83" i="3"/>
  <c r="H83" i="3"/>
  <c r="V82" i="3"/>
  <c r="O82" i="3"/>
  <c r="H82" i="3"/>
  <c r="V81" i="3"/>
  <c r="O81" i="3"/>
  <c r="H81" i="3"/>
  <c r="V80" i="3"/>
  <c r="O80" i="3"/>
  <c r="H80" i="3"/>
  <c r="V79" i="3"/>
  <c r="O79" i="3"/>
  <c r="H79" i="3"/>
  <c r="V78" i="3"/>
  <c r="O78" i="3"/>
  <c r="H78" i="3"/>
  <c r="V77" i="3"/>
  <c r="O77" i="3"/>
  <c r="H77" i="3"/>
  <c r="V76" i="3"/>
  <c r="O76" i="3"/>
  <c r="H76" i="3"/>
  <c r="V75" i="3"/>
  <c r="O75" i="3"/>
  <c r="H75" i="3"/>
  <c r="V74" i="3"/>
  <c r="O74" i="3"/>
  <c r="H74" i="3"/>
  <c r="V73" i="3"/>
  <c r="O73" i="3"/>
  <c r="H73" i="3"/>
  <c r="V72" i="3"/>
  <c r="O72" i="3"/>
  <c r="H72" i="3"/>
  <c r="V71" i="3"/>
  <c r="O71" i="3"/>
  <c r="H71" i="3"/>
  <c r="V70" i="3"/>
  <c r="O70" i="3"/>
  <c r="H70" i="3"/>
  <c r="V69" i="3"/>
  <c r="O69" i="3"/>
  <c r="H69" i="3"/>
  <c r="V68" i="3"/>
  <c r="O68" i="3"/>
  <c r="H68" i="3"/>
  <c r="V67" i="3"/>
  <c r="O67" i="3"/>
  <c r="H67" i="3"/>
  <c r="V66" i="3"/>
  <c r="O66" i="3"/>
  <c r="H66" i="3"/>
  <c r="V65" i="3"/>
  <c r="O65" i="3"/>
  <c r="H65" i="3"/>
  <c r="V64" i="3"/>
  <c r="O64" i="3"/>
  <c r="H64" i="3"/>
  <c r="V63" i="3"/>
  <c r="O63" i="3"/>
  <c r="H63" i="3"/>
  <c r="V62" i="3"/>
  <c r="O62" i="3"/>
  <c r="H62" i="3"/>
  <c r="V61" i="3"/>
  <c r="O61" i="3"/>
  <c r="H61" i="3"/>
  <c r="V60" i="3"/>
  <c r="O60" i="3"/>
  <c r="H60" i="3"/>
  <c r="V59" i="3"/>
  <c r="O59" i="3"/>
  <c r="H59" i="3"/>
  <c r="V58" i="3"/>
  <c r="O58" i="3"/>
  <c r="H58" i="3"/>
  <c r="V57" i="3"/>
  <c r="O57" i="3"/>
  <c r="H57" i="3"/>
  <c r="V56" i="3"/>
  <c r="O56" i="3"/>
  <c r="H56" i="3"/>
  <c r="V55" i="3"/>
  <c r="O55" i="3"/>
  <c r="H55" i="3"/>
  <c r="V54" i="3"/>
  <c r="O54" i="3"/>
  <c r="H54" i="3"/>
  <c r="V53" i="3"/>
  <c r="O53" i="3"/>
  <c r="H53" i="3"/>
  <c r="V52" i="3"/>
  <c r="O52" i="3"/>
  <c r="H52" i="3"/>
  <c r="V51" i="3"/>
  <c r="O51" i="3"/>
  <c r="H51" i="3"/>
  <c r="V50" i="3"/>
  <c r="O50" i="3"/>
  <c r="H50" i="3"/>
  <c r="V49" i="3"/>
  <c r="O49" i="3"/>
  <c r="H49" i="3"/>
  <c r="V48" i="3"/>
  <c r="O48" i="3"/>
  <c r="H48" i="3"/>
  <c r="V47" i="3"/>
  <c r="O47" i="3"/>
  <c r="H47" i="3"/>
  <c r="V46" i="3"/>
  <c r="O46" i="3"/>
  <c r="H46" i="3"/>
  <c r="V45" i="3"/>
  <c r="O45" i="3"/>
  <c r="H45" i="3"/>
  <c r="V44" i="3"/>
  <c r="O44" i="3"/>
  <c r="H44" i="3"/>
  <c r="V43" i="3"/>
  <c r="O43" i="3"/>
  <c r="H43" i="3"/>
  <c r="V42" i="3"/>
  <c r="O42" i="3"/>
  <c r="H42" i="3"/>
  <c r="V41" i="3"/>
  <c r="O41" i="3"/>
  <c r="H41" i="3"/>
  <c r="V40" i="3"/>
  <c r="O40" i="3"/>
  <c r="H40" i="3"/>
  <c r="V39" i="3"/>
  <c r="O39" i="3"/>
  <c r="H39" i="3"/>
  <c r="V38" i="3"/>
  <c r="O38" i="3"/>
  <c r="H38" i="3"/>
  <c r="V37" i="3"/>
  <c r="O37" i="3"/>
  <c r="H37" i="3"/>
  <c r="V36" i="3"/>
  <c r="O36" i="3"/>
  <c r="H36" i="3"/>
  <c r="V35" i="3"/>
  <c r="O35" i="3"/>
  <c r="H35" i="3"/>
  <c r="V34" i="3"/>
  <c r="O34" i="3"/>
  <c r="H34" i="3"/>
  <c r="V33" i="3"/>
  <c r="O33" i="3"/>
  <c r="H33" i="3"/>
  <c r="V32" i="3"/>
  <c r="O32" i="3"/>
  <c r="H32" i="3"/>
  <c r="V31" i="3"/>
  <c r="O31" i="3"/>
  <c r="H31" i="3"/>
  <c r="V30" i="3"/>
  <c r="O30" i="3"/>
  <c r="H30" i="3"/>
  <c r="V29" i="3"/>
  <c r="O29" i="3"/>
  <c r="H29" i="3"/>
  <c r="V28" i="3"/>
  <c r="O28" i="3"/>
  <c r="H28" i="3"/>
  <c r="V27" i="3"/>
  <c r="O27" i="3"/>
  <c r="H27" i="3"/>
  <c r="V26" i="3"/>
  <c r="O26" i="3"/>
  <c r="H26" i="3"/>
  <c r="V25" i="3"/>
  <c r="O25" i="3"/>
  <c r="H25" i="3"/>
  <c r="V24" i="3"/>
  <c r="O24" i="3"/>
  <c r="H24" i="3"/>
  <c r="V23" i="3"/>
  <c r="O23" i="3"/>
  <c r="H23" i="3"/>
  <c r="V22" i="3"/>
  <c r="O22" i="3"/>
  <c r="H22" i="3"/>
  <c r="V21" i="3"/>
  <c r="O21" i="3"/>
  <c r="H21" i="3"/>
  <c r="V20" i="3"/>
  <c r="O20" i="3"/>
  <c r="H20" i="3"/>
  <c r="V19" i="3"/>
  <c r="O19" i="3"/>
  <c r="H19" i="3"/>
  <c r="V18" i="3"/>
  <c r="O18" i="3"/>
  <c r="H18" i="3"/>
  <c r="V17" i="3"/>
  <c r="O17" i="3"/>
  <c r="H17" i="3"/>
  <c r="V16" i="3"/>
  <c r="O16" i="3"/>
  <c r="H16" i="3"/>
  <c r="V15" i="3"/>
  <c r="O15" i="3"/>
  <c r="H15" i="3"/>
  <c r="V14" i="3"/>
  <c r="O14" i="3"/>
  <c r="H14" i="3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K26" i="2"/>
  <c r="BG26" i="2"/>
  <c r="BC26" i="2"/>
  <c r="BK25" i="2"/>
  <c r="BG25" i="2"/>
  <c r="BC25" i="2"/>
  <c r="BK24" i="2"/>
  <c r="BG24" i="2"/>
  <c r="BC24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K19" i="2"/>
  <c r="BG19" i="2"/>
  <c r="BC19" i="2"/>
  <c r="BK18" i="2"/>
  <c r="BG18" i="2"/>
  <c r="BC18" i="2"/>
  <c r="BK17" i="2"/>
  <c r="BG17" i="2"/>
  <c r="BC17" i="2"/>
  <c r="BK16" i="2"/>
  <c r="BG16" i="2"/>
  <c r="BC16" i="2"/>
  <c r="BK15" i="2"/>
  <c r="BG15" i="2"/>
  <c r="BC15" i="2"/>
  <c r="BK14" i="2"/>
  <c r="BG14" i="2"/>
  <c r="BC14" i="2"/>
  <c r="BK13" i="2"/>
  <c r="BG13" i="2"/>
  <c r="BC13" i="2"/>
  <c r="BK12" i="2"/>
  <c r="BG12" i="2"/>
  <c r="BC12" i="2"/>
  <c r="BK11" i="2"/>
  <c r="BG11" i="2"/>
  <c r="BC11" i="2"/>
  <c r="BK10" i="2"/>
  <c r="BG10" i="2"/>
  <c r="BC10" i="2"/>
  <c r="BK9" i="2"/>
  <c r="BG9" i="2"/>
  <c r="BC9" i="2"/>
  <c r="BK8" i="2"/>
  <c r="BG8" i="2"/>
  <c r="BC8" i="2"/>
  <c r="BK7" i="2"/>
  <c r="BG7" i="2"/>
  <c r="BC7" i="2"/>
  <c r="BK6" i="2"/>
  <c r="BG6" i="2"/>
  <c r="BC6" i="2"/>
  <c r="BB4" i="2"/>
  <c r="BB3" i="2"/>
  <c r="BN3" i="2" s="1"/>
  <c r="S27" i="2"/>
  <c r="R27" i="2"/>
  <c r="Q27" i="2"/>
  <c r="P27" i="2"/>
  <c r="O27" i="2"/>
  <c r="F27" i="2"/>
  <c r="S26" i="2"/>
  <c r="R26" i="2"/>
  <c r="Q26" i="2"/>
  <c r="P26" i="2"/>
  <c r="O26" i="2"/>
  <c r="F26" i="2"/>
  <c r="S25" i="2"/>
  <c r="R25" i="2"/>
  <c r="Q25" i="2"/>
  <c r="P25" i="2"/>
  <c r="O25" i="2"/>
  <c r="F25" i="2"/>
  <c r="S24" i="2"/>
  <c r="R24" i="2"/>
  <c r="Q24" i="2"/>
  <c r="P24" i="2"/>
  <c r="O24" i="2"/>
  <c r="F24" i="2"/>
  <c r="S23" i="2"/>
  <c r="R23" i="2"/>
  <c r="Q23" i="2"/>
  <c r="P23" i="2"/>
  <c r="O23" i="2"/>
  <c r="F23" i="2"/>
  <c r="S22" i="2"/>
  <c r="R22" i="2"/>
  <c r="Q22" i="2"/>
  <c r="P22" i="2"/>
  <c r="O22" i="2"/>
  <c r="F22" i="2"/>
  <c r="S21" i="2"/>
  <c r="R21" i="2"/>
  <c r="Q21" i="2"/>
  <c r="P21" i="2"/>
  <c r="O21" i="2"/>
  <c r="F21" i="2"/>
  <c r="S20" i="2"/>
  <c r="R20" i="2"/>
  <c r="Q20" i="2"/>
  <c r="P20" i="2"/>
  <c r="O20" i="2"/>
  <c r="F20" i="2"/>
  <c r="S19" i="2"/>
  <c r="R19" i="2"/>
  <c r="Q19" i="2"/>
  <c r="P19" i="2"/>
  <c r="O19" i="2"/>
  <c r="F19" i="2"/>
  <c r="S18" i="2"/>
  <c r="R18" i="2"/>
  <c r="Q18" i="2"/>
  <c r="P18" i="2"/>
  <c r="O18" i="2"/>
  <c r="F18" i="2"/>
  <c r="S17" i="2"/>
  <c r="R17" i="2"/>
  <c r="Q17" i="2"/>
  <c r="P17" i="2"/>
  <c r="O17" i="2"/>
  <c r="F17" i="2"/>
  <c r="S16" i="2"/>
  <c r="R16" i="2"/>
  <c r="Q16" i="2"/>
  <c r="P16" i="2"/>
  <c r="O16" i="2"/>
  <c r="F16" i="2"/>
  <c r="S15" i="2"/>
  <c r="R15" i="2"/>
  <c r="Q15" i="2"/>
  <c r="P15" i="2"/>
  <c r="O15" i="2"/>
  <c r="F15" i="2"/>
  <c r="S14" i="2"/>
  <c r="R14" i="2"/>
  <c r="Q14" i="2"/>
  <c r="P14" i="2"/>
  <c r="O14" i="2"/>
  <c r="F14" i="2"/>
  <c r="S13" i="2"/>
  <c r="R13" i="2"/>
  <c r="Q13" i="2"/>
  <c r="P13" i="2"/>
  <c r="O13" i="2"/>
  <c r="F13" i="2"/>
  <c r="S12" i="2"/>
  <c r="R12" i="2"/>
  <c r="Q12" i="2"/>
  <c r="P12" i="2"/>
  <c r="O12" i="2"/>
  <c r="F12" i="2"/>
  <c r="S11" i="2"/>
  <c r="R11" i="2"/>
  <c r="Q11" i="2"/>
  <c r="P11" i="2"/>
  <c r="O11" i="2"/>
  <c r="F11" i="2"/>
  <c r="S10" i="2"/>
  <c r="R10" i="2"/>
  <c r="Q10" i="2"/>
  <c r="P10" i="2"/>
  <c r="O10" i="2"/>
  <c r="F10" i="2"/>
  <c r="S9" i="2"/>
  <c r="R9" i="2"/>
  <c r="Q9" i="2"/>
  <c r="P9" i="2"/>
  <c r="O9" i="2"/>
  <c r="F9" i="2"/>
  <c r="S8" i="2"/>
  <c r="R8" i="2"/>
  <c r="Q8" i="2"/>
  <c r="P8" i="2"/>
  <c r="O8" i="2"/>
  <c r="F8" i="2"/>
  <c r="S7" i="2"/>
  <c r="O7" i="2"/>
  <c r="F7" i="2"/>
  <c r="S6" i="2"/>
  <c r="O6" i="2"/>
  <c r="S5" i="2"/>
  <c r="S4" i="2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BF108" i="1"/>
  <c r="AY108" i="1"/>
  <c r="AX108" i="1"/>
  <c r="AU108" i="1"/>
  <c r="AR108" i="1"/>
  <c r="G108" i="1"/>
  <c r="AY107" i="1"/>
  <c r="AX107" i="1"/>
  <c r="AU107" i="1"/>
  <c r="AR107" i="1"/>
  <c r="BA107" i="1" s="1"/>
  <c r="G107" i="1"/>
  <c r="BB106" i="1"/>
  <c r="BA106" i="1"/>
  <c r="AY106" i="1"/>
  <c r="AX106" i="1"/>
  <c r="AU106" i="1"/>
  <c r="AR106" i="1"/>
  <c r="G106" i="1"/>
  <c r="BG105" i="1"/>
  <c r="BF105" i="1"/>
  <c r="BC105" i="1"/>
  <c r="AY105" i="1"/>
  <c r="AX105" i="1"/>
  <c r="AU105" i="1"/>
  <c r="AR105" i="1"/>
  <c r="BA105" i="1" s="1"/>
  <c r="G105" i="1"/>
  <c r="AY104" i="1"/>
  <c r="AX104" i="1"/>
  <c r="BC104" i="1" s="1"/>
  <c r="AU104" i="1"/>
  <c r="AR104" i="1"/>
  <c r="G104" i="1"/>
  <c r="BB103" i="1"/>
  <c r="BA103" i="1"/>
  <c r="AY103" i="1"/>
  <c r="AX103" i="1"/>
  <c r="AU103" i="1"/>
  <c r="AR103" i="1"/>
  <c r="G103" i="1"/>
  <c r="BF102" i="1"/>
  <c r="AY102" i="1"/>
  <c r="AX102" i="1"/>
  <c r="BH105" i="1" s="1"/>
  <c r="AU102" i="1"/>
  <c r="AR102" i="1"/>
  <c r="BA102" i="1" s="1"/>
  <c r="G102" i="1"/>
  <c r="BH101" i="1"/>
  <c r="AY101" i="1"/>
  <c r="AX101" i="1"/>
  <c r="BC101" i="1" s="1"/>
  <c r="AU101" i="1"/>
  <c r="BB101" i="1" s="1"/>
  <c r="AR101" i="1"/>
  <c r="G101" i="1"/>
  <c r="BB100" i="1"/>
  <c r="BA100" i="1"/>
  <c r="AY100" i="1"/>
  <c r="AX100" i="1"/>
  <c r="AU100" i="1"/>
  <c r="AR100" i="1"/>
  <c r="G100" i="1"/>
  <c r="BG99" i="1"/>
  <c r="BF99" i="1"/>
  <c r="BC99" i="1"/>
  <c r="AY99" i="1"/>
  <c r="AX99" i="1"/>
  <c r="AU99" i="1"/>
  <c r="BB99" i="1" s="1"/>
  <c r="AR99" i="1"/>
  <c r="BA99" i="1" s="1"/>
  <c r="G99" i="1"/>
  <c r="BH98" i="1"/>
  <c r="BA98" i="1"/>
  <c r="AY98" i="1"/>
  <c r="AX98" i="1"/>
  <c r="BC98" i="1" s="1"/>
  <c r="AU98" i="1"/>
  <c r="BB98" i="1" s="1"/>
  <c r="AR98" i="1"/>
  <c r="G98" i="1"/>
  <c r="BF97" i="1"/>
  <c r="BC97" i="1"/>
  <c r="BA97" i="1"/>
  <c r="AY97" i="1"/>
  <c r="AX97" i="1"/>
  <c r="AU97" i="1"/>
  <c r="AR97" i="1"/>
  <c r="G97" i="1"/>
  <c r="BH96" i="1"/>
  <c r="BF96" i="1"/>
  <c r="AY96" i="1"/>
  <c r="AX96" i="1"/>
  <c r="BC96" i="1" s="1"/>
  <c r="AU96" i="1"/>
  <c r="BB96" i="1" s="1"/>
  <c r="AR96" i="1"/>
  <c r="BA96" i="1" s="1"/>
  <c r="G96" i="1"/>
  <c r="BB95" i="1"/>
  <c r="BA95" i="1"/>
  <c r="AY95" i="1"/>
  <c r="AX95" i="1"/>
  <c r="BC95" i="1" s="1"/>
  <c r="AU95" i="1"/>
  <c r="AR95" i="1"/>
  <c r="G95" i="1"/>
  <c r="BF94" i="1"/>
  <c r="AY94" i="1"/>
  <c r="AX94" i="1"/>
  <c r="BH97" i="1" s="1"/>
  <c r="AU94" i="1"/>
  <c r="AR94" i="1"/>
  <c r="BA94" i="1" s="1"/>
  <c r="G94" i="1"/>
  <c r="BH93" i="1"/>
  <c r="AY93" i="1"/>
  <c r="AX93" i="1"/>
  <c r="BC93" i="1" s="1"/>
  <c r="AU93" i="1"/>
  <c r="BB93" i="1" s="1"/>
  <c r="AR93" i="1"/>
  <c r="BA93" i="1" s="1"/>
  <c r="G93" i="1"/>
  <c r="BB92" i="1"/>
  <c r="BA92" i="1"/>
  <c r="AY92" i="1"/>
  <c r="AX92" i="1"/>
  <c r="AU92" i="1"/>
  <c r="AR92" i="1"/>
  <c r="G92" i="1"/>
  <c r="BG91" i="1"/>
  <c r="BF91" i="1"/>
  <c r="BC91" i="1"/>
  <c r="AY91" i="1"/>
  <c r="AX91" i="1"/>
  <c r="AU91" i="1"/>
  <c r="BB91" i="1" s="1"/>
  <c r="AR91" i="1"/>
  <c r="BA91" i="1" s="1"/>
  <c r="G91" i="1"/>
  <c r="BH90" i="1"/>
  <c r="BA90" i="1"/>
  <c r="AY90" i="1"/>
  <c r="AX90" i="1"/>
  <c r="BC90" i="1" s="1"/>
  <c r="AU90" i="1"/>
  <c r="BB90" i="1" s="1"/>
  <c r="AR90" i="1"/>
  <c r="BF93" i="1" s="1"/>
  <c r="G90" i="1"/>
  <c r="BF89" i="1"/>
  <c r="BC89" i="1"/>
  <c r="BA89" i="1"/>
  <c r="AY89" i="1"/>
  <c r="AX89" i="1"/>
  <c r="AU89" i="1"/>
  <c r="AR89" i="1"/>
  <c r="G89" i="1"/>
  <c r="BH88" i="1"/>
  <c r="BF88" i="1"/>
  <c r="AY88" i="1"/>
  <c r="AX88" i="1"/>
  <c r="BC88" i="1" s="1"/>
  <c r="AU88" i="1"/>
  <c r="BB88" i="1" s="1"/>
  <c r="AR88" i="1"/>
  <c r="BA88" i="1" s="1"/>
  <c r="G88" i="1"/>
  <c r="BB87" i="1"/>
  <c r="BA87" i="1"/>
  <c r="AY87" i="1"/>
  <c r="AX87" i="1"/>
  <c r="BC87" i="1" s="1"/>
  <c r="AU87" i="1"/>
  <c r="AR87" i="1"/>
  <c r="G87" i="1"/>
  <c r="BF86" i="1"/>
  <c r="AY86" i="1"/>
  <c r="AX86" i="1"/>
  <c r="BH89" i="1" s="1"/>
  <c r="AU86" i="1"/>
  <c r="AR86" i="1"/>
  <c r="BA86" i="1" s="1"/>
  <c r="G86" i="1"/>
  <c r="BH85" i="1"/>
  <c r="AY85" i="1"/>
  <c r="AX85" i="1"/>
  <c r="BC85" i="1" s="1"/>
  <c r="AU85" i="1"/>
  <c r="BB85" i="1" s="1"/>
  <c r="AR85" i="1"/>
  <c r="BA85" i="1" s="1"/>
  <c r="G85" i="1"/>
  <c r="BB84" i="1"/>
  <c r="BA84" i="1"/>
  <c r="AY84" i="1"/>
  <c r="AX84" i="1"/>
  <c r="AU84" i="1"/>
  <c r="AR84" i="1"/>
  <c r="BF87" i="1" s="1"/>
  <c r="G84" i="1"/>
  <c r="BG83" i="1"/>
  <c r="BF83" i="1"/>
  <c r="BC83" i="1"/>
  <c r="AY83" i="1"/>
  <c r="AX83" i="1"/>
  <c r="AU83" i="1"/>
  <c r="BB83" i="1" s="1"/>
  <c r="AR83" i="1"/>
  <c r="BA83" i="1" s="1"/>
  <c r="G83" i="1"/>
  <c r="BH82" i="1"/>
  <c r="BA82" i="1"/>
  <c r="AY82" i="1"/>
  <c r="AX82" i="1"/>
  <c r="BC82" i="1" s="1"/>
  <c r="AU82" i="1"/>
  <c r="BB82" i="1" s="1"/>
  <c r="AR82" i="1"/>
  <c r="BF85" i="1" s="1"/>
  <c r="G82" i="1"/>
  <c r="BC81" i="1"/>
  <c r="BA81" i="1"/>
  <c r="AY81" i="1"/>
  <c r="AX81" i="1"/>
  <c r="AU81" i="1"/>
  <c r="AR81" i="1"/>
  <c r="G81" i="1"/>
  <c r="BH80" i="1"/>
  <c r="BF80" i="1"/>
  <c r="AY80" i="1"/>
  <c r="AX80" i="1"/>
  <c r="BC80" i="1" s="1"/>
  <c r="AU80" i="1"/>
  <c r="BB80" i="1" s="1"/>
  <c r="AR80" i="1"/>
  <c r="BA80" i="1" s="1"/>
  <c r="G80" i="1"/>
  <c r="BB79" i="1"/>
  <c r="BA79" i="1"/>
  <c r="AY79" i="1"/>
  <c r="AX79" i="1"/>
  <c r="BC79" i="1" s="1"/>
  <c r="AU79" i="1"/>
  <c r="AR79" i="1"/>
  <c r="G79" i="1"/>
  <c r="BF78" i="1"/>
  <c r="AY78" i="1"/>
  <c r="AX78" i="1"/>
  <c r="BH81" i="1" s="1"/>
  <c r="AU78" i="1"/>
  <c r="AR78" i="1"/>
  <c r="BA78" i="1" s="1"/>
  <c r="G78" i="1"/>
  <c r="BH77" i="1"/>
  <c r="AY77" i="1"/>
  <c r="AX77" i="1"/>
  <c r="BC77" i="1" s="1"/>
  <c r="AU77" i="1"/>
  <c r="BB77" i="1" s="1"/>
  <c r="AR77" i="1"/>
  <c r="BA77" i="1" s="1"/>
  <c r="G77" i="1"/>
  <c r="BB76" i="1"/>
  <c r="BA76" i="1"/>
  <c r="AY76" i="1"/>
  <c r="AX76" i="1"/>
  <c r="AU76" i="1"/>
  <c r="AR76" i="1"/>
  <c r="BF79" i="1" s="1"/>
  <c r="G76" i="1"/>
  <c r="BG75" i="1"/>
  <c r="BF75" i="1"/>
  <c r="BC75" i="1"/>
  <c r="AY75" i="1"/>
  <c r="AX75" i="1"/>
  <c r="AU75" i="1"/>
  <c r="BB75" i="1" s="1"/>
  <c r="AR75" i="1"/>
  <c r="BA75" i="1" s="1"/>
  <c r="G75" i="1"/>
  <c r="BH74" i="1"/>
  <c r="BA74" i="1"/>
  <c r="AY74" i="1"/>
  <c r="AX74" i="1"/>
  <c r="BC74" i="1" s="1"/>
  <c r="AU74" i="1"/>
  <c r="BB74" i="1" s="1"/>
  <c r="AR74" i="1"/>
  <c r="BF77" i="1" s="1"/>
  <c r="G74" i="1"/>
  <c r="BC73" i="1"/>
  <c r="BA73" i="1"/>
  <c r="AY73" i="1"/>
  <c r="AX73" i="1"/>
  <c r="AU73" i="1"/>
  <c r="AR73" i="1"/>
  <c r="G73" i="1"/>
  <c r="BH72" i="1"/>
  <c r="BF72" i="1"/>
  <c r="AY72" i="1"/>
  <c r="AX72" i="1"/>
  <c r="BC72" i="1" s="1"/>
  <c r="AU72" i="1"/>
  <c r="BB72" i="1" s="1"/>
  <c r="AR72" i="1"/>
  <c r="BA72" i="1" s="1"/>
  <c r="G72" i="1"/>
  <c r="BB71" i="1"/>
  <c r="BA71" i="1"/>
  <c r="AY71" i="1"/>
  <c r="AX71" i="1"/>
  <c r="BC71" i="1" s="1"/>
  <c r="AU71" i="1"/>
  <c r="AR71" i="1"/>
  <c r="G71" i="1"/>
  <c r="BF70" i="1"/>
  <c r="AY70" i="1"/>
  <c r="AX70" i="1"/>
  <c r="BH73" i="1" s="1"/>
  <c r="AU70" i="1"/>
  <c r="AR70" i="1"/>
  <c r="BA70" i="1" s="1"/>
  <c r="G70" i="1"/>
  <c r="BH69" i="1"/>
  <c r="AY69" i="1"/>
  <c r="AX69" i="1"/>
  <c r="BC69" i="1" s="1"/>
  <c r="AU69" i="1"/>
  <c r="BB69" i="1" s="1"/>
  <c r="AR69" i="1"/>
  <c r="BA69" i="1" s="1"/>
  <c r="G69" i="1"/>
  <c r="BB68" i="1"/>
  <c r="BA68" i="1"/>
  <c r="AY68" i="1"/>
  <c r="AX68" i="1"/>
  <c r="AU68" i="1"/>
  <c r="AR68" i="1"/>
  <c r="BF71" i="1" s="1"/>
  <c r="G68" i="1"/>
  <c r="BG67" i="1"/>
  <c r="BF67" i="1"/>
  <c r="BC67" i="1"/>
  <c r="AY67" i="1"/>
  <c r="AX67" i="1"/>
  <c r="AU67" i="1"/>
  <c r="BB67" i="1" s="1"/>
  <c r="AR67" i="1"/>
  <c r="BA67" i="1" s="1"/>
  <c r="G67" i="1"/>
  <c r="BH66" i="1"/>
  <c r="BA66" i="1"/>
  <c r="AY66" i="1"/>
  <c r="AX66" i="1"/>
  <c r="BC66" i="1" s="1"/>
  <c r="AU66" i="1"/>
  <c r="BB66" i="1" s="1"/>
  <c r="AR66" i="1"/>
  <c r="BF69" i="1" s="1"/>
  <c r="G66" i="1"/>
  <c r="BC65" i="1"/>
  <c r="BA65" i="1"/>
  <c r="AY65" i="1"/>
  <c r="AX65" i="1"/>
  <c r="AU65" i="1"/>
  <c r="AR65" i="1"/>
  <c r="G65" i="1"/>
  <c r="BH64" i="1"/>
  <c r="BF64" i="1"/>
  <c r="AY64" i="1"/>
  <c r="AX64" i="1"/>
  <c r="BC64" i="1" s="1"/>
  <c r="AU64" i="1"/>
  <c r="BB64" i="1" s="1"/>
  <c r="AR64" i="1"/>
  <c r="BA64" i="1" s="1"/>
  <c r="G64" i="1"/>
  <c r="BB63" i="1"/>
  <c r="BA63" i="1"/>
  <c r="AY63" i="1"/>
  <c r="AX63" i="1"/>
  <c r="BC63" i="1" s="1"/>
  <c r="AU63" i="1"/>
  <c r="AR63" i="1"/>
  <c r="G63" i="1"/>
  <c r="BF62" i="1"/>
  <c r="AY62" i="1"/>
  <c r="AX62" i="1"/>
  <c r="BH65" i="1" s="1"/>
  <c r="AU62" i="1"/>
  <c r="AR62" i="1"/>
  <c r="BA62" i="1" s="1"/>
  <c r="G62" i="1"/>
  <c r="BH61" i="1"/>
  <c r="AY61" i="1"/>
  <c r="AX61" i="1"/>
  <c r="BC61" i="1" s="1"/>
  <c r="AU61" i="1"/>
  <c r="BB61" i="1" s="1"/>
  <c r="AR61" i="1"/>
  <c r="BA61" i="1" s="1"/>
  <c r="G61" i="1"/>
  <c r="BB60" i="1"/>
  <c r="BA60" i="1"/>
  <c r="AY60" i="1"/>
  <c r="AX60" i="1"/>
  <c r="AU60" i="1"/>
  <c r="AR60" i="1"/>
  <c r="BF63" i="1" s="1"/>
  <c r="G60" i="1"/>
  <c r="BG59" i="1"/>
  <c r="BF59" i="1"/>
  <c r="BC59" i="1"/>
  <c r="AY59" i="1"/>
  <c r="AX59" i="1"/>
  <c r="AU59" i="1"/>
  <c r="BB59" i="1" s="1"/>
  <c r="AR59" i="1"/>
  <c r="BA59" i="1" s="1"/>
  <c r="G59" i="1"/>
  <c r="BH58" i="1"/>
  <c r="BA58" i="1"/>
  <c r="AY58" i="1"/>
  <c r="AX58" i="1"/>
  <c r="BC58" i="1" s="1"/>
  <c r="AU58" i="1"/>
  <c r="BB58" i="1" s="1"/>
  <c r="AR58" i="1"/>
  <c r="BF61" i="1" s="1"/>
  <c r="G58" i="1"/>
  <c r="BC57" i="1"/>
  <c r="BA57" i="1"/>
  <c r="AY57" i="1"/>
  <c r="AX57" i="1"/>
  <c r="AU57" i="1"/>
  <c r="AR57" i="1"/>
  <c r="G57" i="1"/>
  <c r="BH56" i="1"/>
  <c r="AY56" i="1"/>
  <c r="AX56" i="1"/>
  <c r="BC56" i="1" s="1"/>
  <c r="AU56" i="1"/>
  <c r="AR56" i="1"/>
  <c r="BA56" i="1" s="1"/>
  <c r="G56" i="1"/>
  <c r="BB55" i="1"/>
  <c r="BA55" i="1"/>
  <c r="AY55" i="1"/>
  <c r="AX55" i="1"/>
  <c r="BC55" i="1" s="1"/>
  <c r="AU55" i="1"/>
  <c r="AR55" i="1"/>
  <c r="G55" i="1"/>
  <c r="BC54" i="1"/>
  <c r="BB54" i="1"/>
  <c r="AY54" i="1"/>
  <c r="AX54" i="1"/>
  <c r="BH57" i="1" s="1"/>
  <c r="AU54" i="1"/>
  <c r="AR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G54" i="1"/>
  <c r="BC53" i="1"/>
  <c r="AY53" i="1"/>
  <c r="AX53" i="1"/>
  <c r="AU53" i="1"/>
  <c r="BB53" i="1" s="1"/>
  <c r="AR53" i="1"/>
  <c r="BA53" i="1" s="1"/>
  <c r="G53" i="1"/>
  <c r="BA52" i="1"/>
  <c r="AY52" i="1"/>
  <c r="AX52" i="1"/>
  <c r="AU52" i="1"/>
  <c r="BG54" i="1" s="1"/>
  <c r="AR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G52" i="1"/>
  <c r="BB51" i="1"/>
  <c r="BA51" i="1"/>
  <c r="AY51" i="1"/>
  <c r="AX51" i="1"/>
  <c r="AU51" i="1"/>
  <c r="AR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G51" i="1"/>
  <c r="BC50" i="1"/>
  <c r="AY50" i="1"/>
  <c r="AX50" i="1"/>
  <c r="AU50" i="1"/>
  <c r="BG53" i="1" s="1"/>
  <c r="AR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G50" i="1"/>
  <c r="BH49" i="1"/>
  <c r="AY49" i="1"/>
  <c r="AX49" i="1"/>
  <c r="AU49" i="1"/>
  <c r="AR49" i="1"/>
  <c r="G49" i="1"/>
  <c r="AY48" i="1"/>
  <c r="AX48" i="1"/>
  <c r="AU48" i="1"/>
  <c r="BB48" i="1" s="1"/>
  <c r="AR48" i="1"/>
  <c r="BA48" i="1" s="1"/>
  <c r="G48" i="1"/>
  <c r="AY47" i="1"/>
  <c r="AX47" i="1"/>
  <c r="AU47" i="1"/>
  <c r="AR47" i="1"/>
  <c r="G47" i="1"/>
  <c r="AY46" i="1"/>
  <c r="AX46" i="1"/>
  <c r="AU46" i="1"/>
  <c r="AR46" i="1"/>
  <c r="BA46" i="1" s="1"/>
  <c r="G46" i="1"/>
  <c r="BA45" i="1"/>
  <c r="AY45" i="1"/>
  <c r="AX45" i="1"/>
  <c r="BC49" i="1" s="1"/>
  <c r="AU45" i="1"/>
  <c r="BB49" i="1" s="1"/>
  <c r="AR45" i="1"/>
  <c r="G45" i="1"/>
  <c r="AY44" i="1"/>
  <c r="AX44" i="1"/>
  <c r="BH47" i="1" s="1"/>
  <c r="AU44" i="1"/>
  <c r="BG47" i="1" s="1"/>
  <c r="AR44" i="1"/>
  <c r="BF47" i="1" s="1"/>
  <c r="G44" i="1"/>
  <c r="AY43" i="1"/>
  <c r="AX43" i="1"/>
  <c r="BC47" i="1" s="1"/>
  <c r="AU43" i="1"/>
  <c r="BB43" i="1" s="1"/>
  <c r="AR43" i="1"/>
  <c r="G43" i="1"/>
  <c r="BB42" i="1"/>
  <c r="AY42" i="1"/>
  <c r="AX42" i="1"/>
  <c r="BC46" i="1" s="1"/>
  <c r="AU42" i="1"/>
  <c r="BG45" i="1" s="1"/>
  <c r="AR42" i="1"/>
  <c r="G42" i="1"/>
  <c r="BC41" i="1"/>
  <c r="BA41" i="1"/>
  <c r="AY41" i="1"/>
  <c r="AX41" i="1"/>
  <c r="AU41" i="1"/>
  <c r="BG44" i="1" s="1"/>
  <c r="AR41" i="1"/>
  <c r="BF44" i="1" s="1"/>
  <c r="G41" i="1"/>
  <c r="BF40" i="1"/>
  <c r="AY40" i="1"/>
  <c r="AX40" i="1"/>
  <c r="BC40" i="1" s="1"/>
  <c r="AU40" i="1"/>
  <c r="AR40" i="1"/>
  <c r="BA44" i="1" s="1"/>
  <c r="G40" i="1"/>
  <c r="BA39" i="1"/>
  <c r="AY39" i="1"/>
  <c r="AX39" i="1"/>
  <c r="BC43" i="1" s="1"/>
  <c r="AU39" i="1"/>
  <c r="AR39" i="1"/>
  <c r="G39" i="1"/>
  <c r="BC38" i="1"/>
  <c r="BB38" i="1"/>
  <c r="AY38" i="1"/>
  <c r="AX38" i="1"/>
  <c r="AU38" i="1"/>
  <c r="AR38" i="1"/>
  <c r="BA38" i="1" s="1"/>
  <c r="AJ38" i="1"/>
  <c r="G38" i="1"/>
  <c r="BB37" i="1"/>
  <c r="AY37" i="1"/>
  <c r="AX37" i="1"/>
  <c r="AU37" i="1"/>
  <c r="AR37" i="1"/>
  <c r="AJ37" i="1"/>
  <c r="G37" i="1"/>
  <c r="BF36" i="1"/>
  <c r="BC36" i="1"/>
  <c r="AY36" i="1"/>
  <c r="AX36" i="1"/>
  <c r="AU36" i="1"/>
  <c r="BG39" i="1" s="1"/>
  <c r="AR36" i="1"/>
  <c r="BA36" i="1" s="1"/>
  <c r="G36" i="1"/>
  <c r="BB35" i="1"/>
  <c r="AY35" i="1"/>
  <c r="AX35" i="1"/>
  <c r="AU35" i="1"/>
  <c r="AR35" i="1"/>
  <c r="G35" i="1"/>
  <c r="BC34" i="1"/>
  <c r="AY34" i="1"/>
  <c r="AX34" i="1"/>
  <c r="AU34" i="1"/>
  <c r="AR34" i="1"/>
  <c r="BA34" i="1" s="1"/>
  <c r="AJ34" i="1"/>
  <c r="AK84" i="5" s="1"/>
  <c r="G34" i="1"/>
  <c r="AY33" i="1"/>
  <c r="AX33" i="1"/>
  <c r="BC33" i="1" s="1"/>
  <c r="AU33" i="1"/>
  <c r="BB33" i="1" s="1"/>
  <c r="AR33" i="1"/>
  <c r="G33" i="1"/>
  <c r="AY32" i="1"/>
  <c r="AX32" i="1"/>
  <c r="AU32" i="1"/>
  <c r="AR32" i="1"/>
  <c r="AJ32" i="1"/>
  <c r="G32" i="1"/>
  <c r="AX31" i="1"/>
  <c r="BC35" i="1" s="1"/>
  <c r="AU31" i="1"/>
  <c r="AR31" i="1"/>
  <c r="BF38" i="1" s="1"/>
  <c r="AJ31" i="1"/>
  <c r="G31" i="1"/>
  <c r="AX30" i="1"/>
  <c r="AU30" i="1"/>
  <c r="BB34" i="1" s="1"/>
  <c r="AR30" i="1"/>
  <c r="G30" i="1"/>
  <c r="AX29" i="1"/>
  <c r="AU29" i="1"/>
  <c r="AR29" i="1"/>
  <c r="G29" i="1"/>
  <c r="G28" i="1"/>
  <c r="G27" i="1"/>
  <c r="AJ26" i="1"/>
  <c r="Q135" i="5" s="1"/>
  <c r="G26" i="1"/>
  <c r="G25" i="1"/>
  <c r="AJ24" i="1"/>
  <c r="P135" i="5" s="1"/>
  <c r="G24" i="1"/>
  <c r="BH23" i="1"/>
  <c r="BE23" i="1"/>
  <c r="BC23" i="1"/>
  <c r="BB23" i="1"/>
  <c r="AZ23" i="1"/>
  <c r="AL23" i="1"/>
  <c r="BG23" i="1" s="1"/>
  <c r="G23" i="1"/>
  <c r="BH22" i="1"/>
  <c r="BG22" i="1"/>
  <c r="BF22" i="1"/>
  <c r="BC22" i="1"/>
  <c r="BB22" i="1"/>
  <c r="BA22" i="1"/>
  <c r="AZ22" i="1"/>
  <c r="AY22" i="1"/>
  <c r="AX22" i="1"/>
  <c r="AL22" i="1"/>
  <c r="BD22" i="1" s="1"/>
  <c r="G22" i="1"/>
  <c r="BE21" i="1"/>
  <c r="BD21" i="1"/>
  <c r="AY21" i="1"/>
  <c r="AX21" i="1"/>
  <c r="AW21" i="1"/>
  <c r="AL21" i="1"/>
  <c r="BF21" i="1" s="1"/>
  <c r="G21" i="1"/>
  <c r="BG20" i="1"/>
  <c r="BE20" i="1"/>
  <c r="BD20" i="1"/>
  <c r="BC20" i="1"/>
  <c r="BB20" i="1"/>
  <c r="AY20" i="1"/>
  <c r="AL20" i="1"/>
  <c r="G20" i="1"/>
  <c r="BH19" i="1"/>
  <c r="BE19" i="1"/>
  <c r="BC19" i="1"/>
  <c r="BB19" i="1"/>
  <c r="BA19" i="1"/>
  <c r="AZ19" i="1"/>
  <c r="AL19" i="1"/>
  <c r="BG19" i="1" s="1"/>
  <c r="G19" i="1"/>
  <c r="BH18" i="1"/>
  <c r="BG18" i="1"/>
  <c r="BF18" i="1"/>
  <c r="BC18" i="1"/>
  <c r="BB18" i="1"/>
  <c r="AZ18" i="1"/>
  <c r="AY18" i="1"/>
  <c r="AX18" i="1"/>
  <c r="AL18" i="1"/>
  <c r="BD18" i="1" s="1"/>
  <c r="G18" i="1"/>
  <c r="AL17" i="1"/>
  <c r="AY17" i="1" s="1"/>
  <c r="G17" i="1"/>
  <c r="BE16" i="1"/>
  <c r="BD16" i="1"/>
  <c r="BB16" i="1"/>
  <c r="AY16" i="1"/>
  <c r="AW16" i="1"/>
  <c r="AL16" i="1"/>
  <c r="BG16" i="1" s="1"/>
  <c r="G16" i="1"/>
  <c r="BH15" i="1"/>
  <c r="BE15" i="1"/>
  <c r="BC15" i="1"/>
  <c r="BB15" i="1"/>
  <c r="BA15" i="1"/>
  <c r="AZ15" i="1"/>
  <c r="AL15" i="1"/>
  <c r="BG15" i="1" s="1"/>
  <c r="G15" i="1"/>
  <c r="BH14" i="1"/>
  <c r="BG14" i="1"/>
  <c r="BF14" i="1"/>
  <c r="BC14" i="1"/>
  <c r="BB14" i="1"/>
  <c r="BA14" i="1"/>
  <c r="AZ14" i="1"/>
  <c r="AY14" i="1"/>
  <c r="AX14" i="1"/>
  <c r="AL14" i="1"/>
  <c r="BD14" i="1" s="1"/>
  <c r="G14" i="1"/>
  <c r="BG13" i="1"/>
  <c r="BF13" i="1"/>
  <c r="AL13" i="1"/>
  <c r="AX13" i="1" s="1"/>
  <c r="G13" i="1"/>
  <c r="AL12" i="1"/>
  <c r="G12" i="1"/>
  <c r="G11" i="1"/>
  <c r="G10" i="1"/>
  <c r="BF9" i="1"/>
  <c r="BD9" i="1"/>
  <c r="BA9" i="1"/>
  <c r="AY9" i="1"/>
  <c r="AL9" i="1"/>
  <c r="BG9" i="1" s="1"/>
  <c r="G9" i="1"/>
  <c r="BD8" i="1"/>
  <c r="BC8" i="1"/>
  <c r="AL8" i="1"/>
  <c r="BG8" i="1" s="1"/>
  <c r="G8" i="1"/>
  <c r="BH7" i="1"/>
  <c r="BE7" i="1"/>
  <c r="BC7" i="1"/>
  <c r="BB7" i="1"/>
  <c r="AZ7" i="1"/>
  <c r="AW7" i="1"/>
  <c r="AL7" i="1"/>
  <c r="BG7" i="1" s="1"/>
  <c r="AJ7" i="1"/>
  <c r="G7" i="1"/>
  <c r="G6" i="1"/>
  <c r="BH5" i="1"/>
  <c r="BG5" i="1"/>
  <c r="BF5" i="1"/>
  <c r="BE5" i="1"/>
  <c r="BB5" i="1"/>
  <c r="AZ5" i="1"/>
  <c r="AY5" i="1"/>
  <c r="AX5" i="1"/>
  <c r="AL5" i="1"/>
  <c r="BD5" i="1" s="1"/>
  <c r="G5" i="1"/>
  <c r="BH4" i="1"/>
  <c r="BE4" i="1"/>
  <c r="BD4" i="1"/>
  <c r="AX4" i="1"/>
  <c r="AL4" i="1"/>
  <c r="G4" i="1"/>
  <c r="G3" i="1"/>
  <c r="BE2" i="1"/>
  <c r="BA2" i="1"/>
  <c r="AW2" i="1"/>
  <c r="AW23" i="1" s="1"/>
  <c r="G2" i="1"/>
  <c r="AE73" i="4" l="1"/>
  <c r="AJ21" i="4" s="1"/>
  <c r="L34" i="3"/>
  <c r="E37" i="3"/>
  <c r="D11" i="10"/>
  <c r="D19" i="10"/>
  <c r="D31" i="10"/>
  <c r="D39" i="10"/>
  <c r="D55" i="10"/>
  <c r="D5" i="10"/>
  <c r="D9" i="10"/>
  <c r="D13" i="10"/>
  <c r="D17" i="10"/>
  <c r="D21" i="10"/>
  <c r="D25" i="10"/>
  <c r="D29" i="10"/>
  <c r="D33" i="10"/>
  <c r="D37" i="10"/>
  <c r="D41" i="10"/>
  <c r="D45" i="10"/>
  <c r="D49" i="10"/>
  <c r="D53" i="10"/>
  <c r="D57" i="10"/>
  <c r="D61" i="10"/>
  <c r="D65" i="10"/>
  <c r="D69" i="10"/>
  <c r="D73" i="10"/>
  <c r="D77" i="10"/>
  <c r="D81" i="10"/>
  <c r="D6" i="10"/>
  <c r="D10" i="10"/>
  <c r="D14" i="10"/>
  <c r="D18" i="10"/>
  <c r="D22" i="10"/>
  <c r="D26" i="10"/>
  <c r="D30" i="10"/>
  <c r="D34" i="10"/>
  <c r="D38" i="10"/>
  <c r="D42" i="10"/>
  <c r="D46" i="10"/>
  <c r="D50" i="10"/>
  <c r="D54" i="10"/>
  <c r="D58" i="10"/>
  <c r="D62" i="10"/>
  <c r="D66" i="10"/>
  <c r="D70" i="10"/>
  <c r="D74" i="10"/>
  <c r="D78" i="10"/>
  <c r="D7" i="10"/>
  <c r="D15" i="10"/>
  <c r="D23" i="10"/>
  <c r="D27" i="10"/>
  <c r="D35" i="10"/>
  <c r="D43" i="10"/>
  <c r="D47" i="10"/>
  <c r="D51" i="10"/>
  <c r="D59" i="10"/>
  <c r="D63" i="10"/>
  <c r="D67" i="10"/>
  <c r="D71" i="10"/>
  <c r="D75" i="10"/>
  <c r="D79" i="10"/>
  <c r="BC3" i="2"/>
  <c r="BD3" i="2"/>
  <c r="BF3" i="2"/>
  <c r="BJ3" i="2"/>
  <c r="M112" i="4"/>
  <c r="N112" i="4" s="1"/>
  <c r="BM3" i="2"/>
  <c r="E27" i="3"/>
  <c r="L43" i="3"/>
  <c r="E46" i="3"/>
  <c r="E62" i="3"/>
  <c r="AE37" i="4"/>
  <c r="AI11" i="4" s="1"/>
  <c r="L31" i="3"/>
  <c r="AE11" i="4"/>
  <c r="AH11" i="4" s="1"/>
  <c r="AE35" i="4"/>
  <c r="AI9" i="4" s="1"/>
  <c r="AE58" i="4"/>
  <c r="AJ6" i="4" s="1"/>
  <c r="E23" i="3"/>
  <c r="S25" i="3"/>
  <c r="E31" i="3"/>
  <c r="AE18" i="4"/>
  <c r="AH18" i="4" s="1"/>
  <c r="S41" i="3"/>
  <c r="G102" i="4"/>
  <c r="AE19" i="4"/>
  <c r="AH19" i="4" s="1"/>
  <c r="AE39" i="4"/>
  <c r="AI13" i="4" s="1"/>
  <c r="AE20" i="4"/>
  <c r="AH20" i="4" s="1"/>
  <c r="AE33" i="4"/>
  <c r="AI7" i="4" s="1"/>
  <c r="F99" i="4"/>
  <c r="E47" i="3"/>
  <c r="AE45" i="4"/>
  <c r="AI19" i="4" s="1"/>
  <c r="L42" i="3"/>
  <c r="S51" i="3"/>
  <c r="S63" i="3"/>
  <c r="L86" i="3"/>
  <c r="AE17" i="4"/>
  <c r="AH17" i="4" s="1"/>
  <c r="AE8" i="4"/>
  <c r="AH8" i="4" s="1"/>
  <c r="AE36" i="4"/>
  <c r="AI10" i="4" s="1"/>
  <c r="F111" i="4"/>
  <c r="F103" i="4"/>
  <c r="E30" i="3"/>
  <c r="E86" i="3"/>
  <c r="AE34" i="4"/>
  <c r="AI8" i="4" s="1"/>
  <c r="AE40" i="4"/>
  <c r="AI14" i="4" s="1"/>
  <c r="L20" i="3"/>
  <c r="S56" i="3"/>
  <c r="L72" i="3"/>
  <c r="AE46" i="4"/>
  <c r="AI20" i="4" s="1"/>
  <c r="S20" i="3"/>
  <c r="E43" i="3"/>
  <c r="S59" i="3"/>
  <c r="E78" i="3"/>
  <c r="L83" i="3"/>
  <c r="AE10" i="4"/>
  <c r="AH10" i="4" s="1"/>
  <c r="AE12" i="4"/>
  <c r="AH12" i="4" s="1"/>
  <c r="AE16" i="4"/>
  <c r="AH16" i="4" s="1"/>
  <c r="F109" i="4"/>
  <c r="S36" i="3"/>
  <c r="AE41" i="4"/>
  <c r="AI15" i="4" s="1"/>
  <c r="AE62" i="4"/>
  <c r="AJ10" i="4" s="1"/>
  <c r="AE69" i="4"/>
  <c r="AJ17" i="4" s="1"/>
  <c r="AE74" i="4"/>
  <c r="AJ22" i="4" s="1"/>
  <c r="S44" i="3"/>
  <c r="L64" i="3"/>
  <c r="AE21" i="4"/>
  <c r="AH21" i="4" s="1"/>
  <c r="AE43" i="4"/>
  <c r="AI17" i="4" s="1"/>
  <c r="AE47" i="4"/>
  <c r="AI21" i="4" s="1"/>
  <c r="AE60" i="4"/>
  <c r="AJ8" i="4" s="1"/>
  <c r="L84" i="3"/>
  <c r="AE70" i="4"/>
  <c r="AJ18" i="4" s="1"/>
  <c r="E35" i="3"/>
  <c r="E53" i="3"/>
  <c r="L58" i="3"/>
  <c r="L79" i="3"/>
  <c r="S89" i="3"/>
  <c r="AE7" i="4"/>
  <c r="AH7" i="4" s="1"/>
  <c r="AE15" i="4"/>
  <c r="AH15" i="4" s="1"/>
  <c r="AE63" i="4"/>
  <c r="AJ11" i="4" s="1"/>
  <c r="E21" i="3"/>
  <c r="L22" i="3"/>
  <c r="L35" i="3"/>
  <c r="S53" i="3"/>
  <c r="S61" i="3"/>
  <c r="L90" i="3"/>
  <c r="AE22" i="4"/>
  <c r="AH22" i="4" s="1"/>
  <c r="AE42" i="4"/>
  <c r="AI16" i="4" s="1"/>
  <c r="AE61" i="4"/>
  <c r="AJ9" i="4" s="1"/>
  <c r="AE66" i="4"/>
  <c r="AJ14" i="4" s="1"/>
  <c r="G114" i="4"/>
  <c r="G115" i="4"/>
  <c r="S31" i="3"/>
  <c r="S39" i="3"/>
  <c r="S49" i="3"/>
  <c r="S71" i="3"/>
  <c r="S87" i="3"/>
  <c r="S23" i="3"/>
  <c r="S58" i="3"/>
  <c r="S48" i="3"/>
  <c r="S68" i="3"/>
  <c r="S76" i="3"/>
  <c r="S27" i="3"/>
  <c r="S32" i="3"/>
  <c r="S67" i="3"/>
  <c r="S75" i="3"/>
  <c r="S83" i="3"/>
  <c r="S19" i="3"/>
  <c r="S47" i="3"/>
  <c r="S74" i="3"/>
  <c r="S40" i="3"/>
  <c r="S57" i="3"/>
  <c r="S69" i="3"/>
  <c r="S77" i="3"/>
  <c r="S90" i="3"/>
  <c r="S28" i="3"/>
  <c r="S33" i="3"/>
  <c r="S38" i="3"/>
  <c r="S45" i="3"/>
  <c r="S55" i="3"/>
  <c r="S64" i="3"/>
  <c r="S72" i="3"/>
  <c r="S84" i="3"/>
  <c r="S21" i="3"/>
  <c r="S43" i="3"/>
  <c r="S60" i="3"/>
  <c r="S88" i="3"/>
  <c r="S24" i="3"/>
  <c r="S29" i="3"/>
  <c r="S65" i="3"/>
  <c r="S70" i="3"/>
  <c r="S80" i="3"/>
  <c r="S85" i="3"/>
  <c r="S73" i="3"/>
  <c r="S34" i="3"/>
  <c r="S66" i="3"/>
  <c r="S26" i="3"/>
  <c r="S81" i="3"/>
  <c r="S35" i="3"/>
  <c r="S37" i="3"/>
  <c r="S52" i="3"/>
  <c r="S50" i="3"/>
  <c r="S82" i="3"/>
  <c r="S18" i="3"/>
  <c r="L24" i="3"/>
  <c r="L59" i="3"/>
  <c r="L47" i="3"/>
  <c r="L49" i="3"/>
  <c r="L71" i="3"/>
  <c r="L81" i="3"/>
  <c r="L21" i="3"/>
  <c r="L18" i="3"/>
  <c r="L48" i="3"/>
  <c r="L28" i="3"/>
  <c r="L40" i="3"/>
  <c r="L23" i="3"/>
  <c r="L39" i="3"/>
  <c r="L56" i="3"/>
  <c r="L26" i="3"/>
  <c r="L52" i="3"/>
  <c r="L54" i="3"/>
  <c r="L66" i="3"/>
  <c r="L32" i="3"/>
  <c r="L36" i="3"/>
  <c r="L38" i="3"/>
  <c r="L50" i="3"/>
  <c r="L67" i="3"/>
  <c r="L77" i="3"/>
  <c r="L27" i="3"/>
  <c r="L51" i="3"/>
  <c r="L63" i="3"/>
  <c r="L68" i="3"/>
  <c r="L60" i="3"/>
  <c r="L30" i="3"/>
  <c r="L37" i="3"/>
  <c r="L46" i="3"/>
  <c r="L55" i="3"/>
  <c r="L74" i="3"/>
  <c r="L88" i="3"/>
  <c r="L62" i="3"/>
  <c r="L75" i="3"/>
  <c r="L44" i="3"/>
  <c r="L70" i="3"/>
  <c r="L29" i="3"/>
  <c r="L80" i="3"/>
  <c r="L45" i="3"/>
  <c r="L61" i="3"/>
  <c r="L78" i="3"/>
  <c r="L87" i="3"/>
  <c r="L69" i="3"/>
  <c r="L76" i="3"/>
  <c r="L85" i="3"/>
  <c r="E69" i="3"/>
  <c r="E85" i="3"/>
  <c r="E48" i="3"/>
  <c r="E50" i="3"/>
  <c r="E63" i="3"/>
  <c r="E49" i="3"/>
  <c r="E77" i="3"/>
  <c r="E42" i="3"/>
  <c r="E25" i="3"/>
  <c r="E34" i="3"/>
  <c r="E74" i="3"/>
  <c r="E24" i="3"/>
  <c r="E54" i="3"/>
  <c r="E66" i="3"/>
  <c r="E41" i="3"/>
  <c r="E51" i="3"/>
  <c r="E56" i="3"/>
  <c r="E19" i="3"/>
  <c r="E38" i="3"/>
  <c r="E71" i="3"/>
  <c r="E82" i="3"/>
  <c r="E33" i="3"/>
  <c r="E67" i="3"/>
  <c r="E45" i="3"/>
  <c r="E65" i="3"/>
  <c r="E39" i="3"/>
  <c r="E57" i="3"/>
  <c r="E59" i="3"/>
  <c r="E70" i="3"/>
  <c r="E89" i="3"/>
  <c r="E22" i="3"/>
  <c r="E73" i="3"/>
  <c r="E88" i="3"/>
  <c r="E80" i="3"/>
  <c r="E26" i="3"/>
  <c r="E29" i="3"/>
  <c r="E55" i="3"/>
  <c r="E58" i="3"/>
  <c r="E61" i="3"/>
  <c r="E72" i="3"/>
  <c r="E87" i="3"/>
  <c r="E20" i="3"/>
  <c r="E83" i="3"/>
  <c r="E40" i="3"/>
  <c r="E79" i="3"/>
  <c r="E18" i="3"/>
  <c r="E28" i="3"/>
  <c r="E60" i="3"/>
  <c r="E75" i="3"/>
  <c r="E90" i="3"/>
  <c r="L25" i="3"/>
  <c r="E36" i="3"/>
  <c r="S46" i="3"/>
  <c r="L57" i="3"/>
  <c r="L73" i="3"/>
  <c r="E84" i="3"/>
  <c r="L19" i="3"/>
  <c r="S22" i="3"/>
  <c r="L33" i="3"/>
  <c r="E44" i="3"/>
  <c r="S54" i="3"/>
  <c r="L65" i="3"/>
  <c r="E76" i="3"/>
  <c r="S86" i="3"/>
  <c r="E32" i="3"/>
  <c r="S42" i="3"/>
  <c r="L53" i="3"/>
  <c r="E64" i="3"/>
  <c r="S30" i="3"/>
  <c r="L41" i="3"/>
  <c r="E52" i="3"/>
  <c r="S62" i="3"/>
  <c r="E68" i="3"/>
  <c r="S78" i="3"/>
  <c r="L89" i="3"/>
  <c r="S79" i="3"/>
  <c r="E81" i="3"/>
  <c r="L82" i="3"/>
  <c r="M106" i="4"/>
  <c r="N106" i="4" s="1"/>
  <c r="M110" i="4"/>
  <c r="N110" i="4" s="1"/>
  <c r="M109" i="4"/>
  <c r="N109" i="4" s="1"/>
  <c r="M114" i="4"/>
  <c r="R114" i="4" s="1"/>
  <c r="BA12" i="1"/>
  <c r="BH12" i="1"/>
  <c r="AZ12" i="1"/>
  <c r="BF12" i="1"/>
  <c r="AX12" i="1"/>
  <c r="AD84" i="5"/>
  <c r="AC84" i="5"/>
  <c r="F135" i="5"/>
  <c r="AW13" i="1"/>
  <c r="BH36" i="1"/>
  <c r="BH37" i="1"/>
  <c r="BH40" i="1"/>
  <c r="BG41" i="1"/>
  <c r="BF56" i="1"/>
  <c r="BA50" i="1"/>
  <c r="BF57" i="1"/>
  <c r="BB108" i="1"/>
  <c r="BG108" i="1"/>
  <c r="BG17" i="1"/>
  <c r="AE84" i="5"/>
  <c r="AL11" i="1"/>
  <c r="BH42" i="1"/>
  <c r="BB4" i="1"/>
  <c r="BA4" i="1"/>
  <c r="BF4" i="1"/>
  <c r="BE8" i="1"/>
  <c r="AY12" i="1"/>
  <c r="AX17" i="1"/>
  <c r="AW4" i="1"/>
  <c r="BG4" i="1"/>
  <c r="BE9" i="1"/>
  <c r="BB12" i="1"/>
  <c r="BC16" i="1"/>
  <c r="BA21" i="1"/>
  <c r="BC39" i="1"/>
  <c r="BA47" i="1"/>
  <c r="BF46" i="1"/>
  <c r="BA43" i="1"/>
  <c r="BC13" i="1"/>
  <c r="BB13" i="1"/>
  <c r="BH13" i="1"/>
  <c r="AZ13" i="1"/>
  <c r="AY13" i="1"/>
  <c r="S135" i="5"/>
  <c r="BH38" i="1"/>
  <c r="BF45" i="1"/>
  <c r="BF54" i="1"/>
  <c r="BC17" i="1"/>
  <c r="BB17" i="1"/>
  <c r="BH17" i="1"/>
  <c r="AZ17" i="1"/>
  <c r="BH46" i="1"/>
  <c r="BA8" i="1"/>
  <c r="BH8" i="1"/>
  <c r="AZ8" i="1"/>
  <c r="BF8" i="1"/>
  <c r="AX8" i="1"/>
  <c r="BA17" i="1"/>
  <c r="AW8" i="1"/>
  <c r="BA13" i="1"/>
  <c r="BD17" i="1"/>
  <c r="BA35" i="1"/>
  <c r="BH50" i="1"/>
  <c r="AW12" i="1"/>
  <c r="AW17" i="1"/>
  <c r="BC12" i="1"/>
  <c r="P83" i="5"/>
  <c r="O83" i="5"/>
  <c r="D83" i="5"/>
  <c r="E83" i="5"/>
  <c r="AW22" i="1"/>
  <c r="AW18" i="1"/>
  <c r="AW14" i="1"/>
  <c r="BC9" i="1"/>
  <c r="BB9" i="1"/>
  <c r="BH9" i="1"/>
  <c r="AZ9" i="1"/>
  <c r="BD12" i="1"/>
  <c r="D88" i="5"/>
  <c r="P88" i="5"/>
  <c r="E88" i="5"/>
  <c r="O88" i="5"/>
  <c r="BA5" i="1"/>
  <c r="AZ4" i="1"/>
  <c r="BA7" i="1"/>
  <c r="AY8" i="1"/>
  <c r="AW9" i="1"/>
  <c r="BE12" i="1"/>
  <c r="BD13" i="1"/>
  <c r="BE17" i="1"/>
  <c r="BA18" i="1"/>
  <c r="AW19" i="1"/>
  <c r="BA20" i="1"/>
  <c r="BH20" i="1"/>
  <c r="AZ20" i="1"/>
  <c r="BF20" i="1"/>
  <c r="AX20" i="1"/>
  <c r="BB39" i="1"/>
  <c r="BG38" i="1"/>
  <c r="BB41" i="1"/>
  <c r="BG40" i="1"/>
  <c r="BF42" i="1"/>
  <c r="BB44" i="1"/>
  <c r="BG43" i="1"/>
  <c r="BB40" i="1"/>
  <c r="BH44" i="1"/>
  <c r="BG49" i="1"/>
  <c r="BB50" i="1"/>
  <c r="BB46" i="1"/>
  <c r="BF52" i="1"/>
  <c r="BF53" i="1"/>
  <c r="AL6" i="1"/>
  <c r="AY4" i="1"/>
  <c r="BC4" i="1"/>
  <c r="AW5" i="1"/>
  <c r="BB8" i="1"/>
  <c r="AX9" i="1"/>
  <c r="BG12" i="1"/>
  <c r="BE13" i="1"/>
  <c r="AW15" i="1"/>
  <c r="BA16" i="1"/>
  <c r="BH16" i="1"/>
  <c r="AZ16" i="1"/>
  <c r="BF16" i="1"/>
  <c r="AX16" i="1"/>
  <c r="BF17" i="1"/>
  <c r="AW20" i="1"/>
  <c r="BC21" i="1"/>
  <c r="BB21" i="1"/>
  <c r="BH21" i="1"/>
  <c r="AZ21" i="1"/>
  <c r="BG21" i="1"/>
  <c r="BA23" i="1"/>
  <c r="BA33" i="1"/>
  <c r="BA37" i="1"/>
  <c r="BG37" i="1"/>
  <c r="BB36" i="1"/>
  <c r="BH39" i="1"/>
  <c r="BH41" i="1"/>
  <c r="BG42" i="1"/>
  <c r="BA49" i="1"/>
  <c r="BF48" i="1"/>
  <c r="BD7" i="1"/>
  <c r="BD15" i="1"/>
  <c r="BD19" i="1"/>
  <c r="BD23" i="1"/>
  <c r="BG36" i="1"/>
  <c r="BF41" i="1"/>
  <c r="BA42" i="1"/>
  <c r="BH43" i="1"/>
  <c r="BC44" i="1"/>
  <c r="BG46" i="1"/>
  <c r="BB47" i="1"/>
  <c r="BH51" i="1"/>
  <c r="BF49" i="1"/>
  <c r="BG56" i="1"/>
  <c r="BB57" i="1"/>
  <c r="BG61" i="1"/>
  <c r="BC62" i="1"/>
  <c r="BG64" i="1"/>
  <c r="BB65" i="1"/>
  <c r="BG69" i="1"/>
  <c r="BC70" i="1"/>
  <c r="BG72" i="1"/>
  <c r="BB73" i="1"/>
  <c r="BG77" i="1"/>
  <c r="BC78" i="1"/>
  <c r="BG80" i="1"/>
  <c r="BB81" i="1"/>
  <c r="BG85" i="1"/>
  <c r="BC86" i="1"/>
  <c r="BG88" i="1"/>
  <c r="BB89" i="1"/>
  <c r="BG93" i="1"/>
  <c r="BC94" i="1"/>
  <c r="BG96" i="1"/>
  <c r="BB97" i="1"/>
  <c r="BG101" i="1"/>
  <c r="BC102" i="1"/>
  <c r="BH104" i="1"/>
  <c r="BA108" i="1"/>
  <c r="G110" i="4"/>
  <c r="F110" i="4"/>
  <c r="E93" i="5"/>
  <c r="O93" i="5"/>
  <c r="P93" i="5"/>
  <c r="D93" i="5"/>
  <c r="BC5" i="1"/>
  <c r="AX7" i="1"/>
  <c r="BF7" i="1"/>
  <c r="AL10" i="1"/>
  <c r="AX15" i="1"/>
  <c r="BF15" i="1"/>
  <c r="AX19" i="1"/>
  <c r="BF19" i="1"/>
  <c r="AX23" i="1"/>
  <c r="BF23" i="1"/>
  <c r="BC37" i="1"/>
  <c r="BF39" i="1"/>
  <c r="BA40" i="1"/>
  <c r="BC42" i="1"/>
  <c r="BB45" i="1"/>
  <c r="BG52" i="1"/>
  <c r="BH54" i="1"/>
  <c r="BC51" i="1"/>
  <c r="BH52" i="1"/>
  <c r="BH59" i="1"/>
  <c r="BC60" i="1"/>
  <c r="BG62" i="1"/>
  <c r="BF65" i="1"/>
  <c r="BH67" i="1"/>
  <c r="BC68" i="1"/>
  <c r="BG70" i="1"/>
  <c r="BF73" i="1"/>
  <c r="BH75" i="1"/>
  <c r="BC76" i="1"/>
  <c r="BG78" i="1"/>
  <c r="BF81" i="1"/>
  <c r="BH83" i="1"/>
  <c r="BC84" i="1"/>
  <c r="BG86" i="1"/>
  <c r="BH91" i="1"/>
  <c r="BC92" i="1"/>
  <c r="BG94" i="1"/>
  <c r="BH99" i="1"/>
  <c r="BC100" i="1"/>
  <c r="BG102" i="1"/>
  <c r="AY7" i="1"/>
  <c r="BE14" i="1"/>
  <c r="AY15" i="1"/>
  <c r="BE18" i="1"/>
  <c r="AY19" i="1"/>
  <c r="BE22" i="1"/>
  <c r="AY23" i="1"/>
  <c r="AL84" i="5"/>
  <c r="AJ84" i="5"/>
  <c r="BF37" i="1"/>
  <c r="BC45" i="1"/>
  <c r="BF50" i="1"/>
  <c r="BH53" i="1"/>
  <c r="BA54" i="1"/>
  <c r="BF60" i="1"/>
  <c r="BF68" i="1"/>
  <c r="BF76" i="1"/>
  <c r="BF84" i="1"/>
  <c r="BF92" i="1"/>
  <c r="BF100" i="1"/>
  <c r="BF107" i="1"/>
  <c r="BA104" i="1"/>
  <c r="BB107" i="1"/>
  <c r="BG50" i="1"/>
  <c r="BC48" i="1"/>
  <c r="BG57" i="1"/>
  <c r="BF58" i="1"/>
  <c r="BB56" i="1"/>
  <c r="BG60" i="1"/>
  <c r="BG65" i="1"/>
  <c r="BF66" i="1"/>
  <c r="BG68" i="1"/>
  <c r="BG73" i="1"/>
  <c r="BF74" i="1"/>
  <c r="BG76" i="1"/>
  <c r="BG81" i="1"/>
  <c r="BF82" i="1"/>
  <c r="BG84" i="1"/>
  <c r="BG89" i="1"/>
  <c r="BF90" i="1"/>
  <c r="BG92" i="1"/>
  <c r="BF95" i="1"/>
  <c r="BG97" i="1"/>
  <c r="BF98" i="1"/>
  <c r="BG100" i="1"/>
  <c r="BF101" i="1"/>
  <c r="BF103" i="1"/>
  <c r="BF104" i="1"/>
  <c r="BA101" i="1"/>
  <c r="BF106" i="1"/>
  <c r="BG107" i="1"/>
  <c r="BB104" i="1"/>
  <c r="BC107" i="1"/>
  <c r="BC108" i="1"/>
  <c r="N113" i="4"/>
  <c r="R113" i="4"/>
  <c r="BF55" i="1"/>
  <c r="BG58" i="1"/>
  <c r="BH60" i="1"/>
  <c r="BH62" i="1"/>
  <c r="BG63" i="1"/>
  <c r="BG66" i="1"/>
  <c r="BH68" i="1"/>
  <c r="BH70" i="1"/>
  <c r="BG71" i="1"/>
  <c r="BG74" i="1"/>
  <c r="BH76" i="1"/>
  <c r="BH78" i="1"/>
  <c r="BG79" i="1"/>
  <c r="BG82" i="1"/>
  <c r="BH84" i="1"/>
  <c r="BH86" i="1"/>
  <c r="BG87" i="1"/>
  <c r="BG90" i="1"/>
  <c r="BH92" i="1"/>
  <c r="BH94" i="1"/>
  <c r="BG95" i="1"/>
  <c r="BG98" i="1"/>
  <c r="BH100" i="1"/>
  <c r="BH102" i="1"/>
  <c r="BG103" i="1"/>
  <c r="BC106" i="1"/>
  <c r="BF43" i="1"/>
  <c r="BH45" i="1"/>
  <c r="BF51" i="1"/>
  <c r="BG48" i="1"/>
  <c r="BG55" i="1"/>
  <c r="BB52" i="1"/>
  <c r="BH63" i="1"/>
  <c r="BH71" i="1"/>
  <c r="BH79" i="1"/>
  <c r="BH87" i="1"/>
  <c r="BH95" i="1"/>
  <c r="BH103" i="1"/>
  <c r="BH106" i="1"/>
  <c r="BC103" i="1"/>
  <c r="BB105" i="1"/>
  <c r="BH107" i="1"/>
  <c r="AE13" i="4"/>
  <c r="AH13" i="4" s="1"/>
  <c r="T49" i="4"/>
  <c r="AD49" i="4" s="1"/>
  <c r="AE49" i="4" s="1"/>
  <c r="AI23" i="4" s="1"/>
  <c r="BG51" i="1"/>
  <c r="BH48" i="1"/>
  <c r="BH55" i="1"/>
  <c r="BC52" i="1"/>
  <c r="BB62" i="1"/>
  <c r="BB70" i="1"/>
  <c r="BB78" i="1"/>
  <c r="BB86" i="1"/>
  <c r="BB94" i="1"/>
  <c r="BB102" i="1"/>
  <c r="BG104" i="1"/>
  <c r="BH108" i="1"/>
  <c r="G106" i="4"/>
  <c r="F106" i="4"/>
  <c r="AE44" i="4"/>
  <c r="AI18" i="4" s="1"/>
  <c r="N108" i="4"/>
  <c r="R108" i="4"/>
  <c r="N114" i="4"/>
  <c r="BG106" i="1"/>
  <c r="AC50" i="4"/>
  <c r="AE65" i="4"/>
  <c r="AJ13" i="4" s="1"/>
  <c r="BI3" i="2"/>
  <c r="BG3" i="2"/>
  <c r="BL3" i="2"/>
  <c r="AE32" i="4"/>
  <c r="AI6" i="4" s="1"/>
  <c r="G49" i="4"/>
  <c r="G50" i="4" s="1"/>
  <c r="F75" i="4"/>
  <c r="F76" i="4" s="1"/>
  <c r="E49" i="4"/>
  <c r="E75" i="4"/>
  <c r="F49" i="4"/>
  <c r="F50" i="4" s="1"/>
  <c r="E23" i="4"/>
  <c r="T23" i="4" s="1"/>
  <c r="AD23" i="4" s="1"/>
  <c r="AE23" i="4" s="1"/>
  <c r="AH23" i="4" s="1"/>
  <c r="BE3" i="2"/>
  <c r="T72" i="4"/>
  <c r="AD72" i="4" s="1"/>
  <c r="AE72" i="4" s="1"/>
  <c r="AJ20" i="4" s="1"/>
  <c r="G100" i="4"/>
  <c r="F100" i="4"/>
  <c r="G111" i="4"/>
  <c r="M115" i="4"/>
  <c r="BH3" i="2"/>
  <c r="G107" i="4"/>
  <c r="M111" i="4"/>
  <c r="AE6" i="4"/>
  <c r="AH6" i="4" s="1"/>
  <c r="AE38" i="4"/>
  <c r="AI12" i="4" s="1"/>
  <c r="F101" i="4"/>
  <c r="F105" i="4"/>
  <c r="BK3" i="2"/>
  <c r="AD9" i="4"/>
  <c r="AE9" i="4" s="1"/>
  <c r="AH9" i="4" s="1"/>
  <c r="AD14" i="4"/>
  <c r="AE14" i="4" s="1"/>
  <c r="AH14" i="4" s="1"/>
  <c r="AD48" i="4"/>
  <c r="AE48" i="4" s="1"/>
  <c r="AI22" i="4" s="1"/>
  <c r="AD67" i="4"/>
  <c r="AE67" i="4" s="1"/>
  <c r="AJ15" i="4" s="1"/>
  <c r="T75" i="4"/>
  <c r="AD75" i="4" s="1"/>
  <c r="AE75" i="4" s="1"/>
  <c r="AJ23" i="4" s="1"/>
  <c r="G101" i="4"/>
  <c r="G105" i="4"/>
  <c r="M107" i="4"/>
  <c r="J80" i="7"/>
  <c r="Q92" i="3" s="1"/>
  <c r="D81" i="7"/>
  <c r="AE116" i="7"/>
  <c r="AA122" i="7"/>
  <c r="AF116" i="7"/>
  <c r="AD116" i="7"/>
  <c r="T64" i="4"/>
  <c r="AD64" i="4" s="1"/>
  <c r="AE64" i="4" s="1"/>
  <c r="AJ12" i="4" s="1"/>
  <c r="AD71" i="4"/>
  <c r="AE71" i="4" s="1"/>
  <c r="AJ19" i="4" s="1"/>
  <c r="G108" i="4"/>
  <c r="G112" i="4"/>
  <c r="AA117" i="7"/>
  <c r="AA125" i="7"/>
  <c r="AA118" i="7"/>
  <c r="AA116" i="7"/>
  <c r="AA126" i="7"/>
  <c r="AD59" i="4"/>
  <c r="AE59" i="4" s="1"/>
  <c r="AJ7" i="4" s="1"/>
  <c r="T68" i="4"/>
  <c r="AD68" i="4" s="1"/>
  <c r="AE68" i="4" s="1"/>
  <c r="AJ16" i="4" s="1"/>
  <c r="G104" i="4"/>
  <c r="G109" i="4"/>
  <c r="G113" i="4"/>
  <c r="K88" i="5"/>
  <c r="BR110" i="5"/>
  <c r="K83" i="5"/>
  <c r="C80" i="7"/>
  <c r="C92" i="3" s="1"/>
  <c r="R112" i="4" l="1"/>
  <c r="B89" i="5"/>
  <c r="B88" i="5"/>
  <c r="B91" i="5"/>
  <c r="B84" i="5"/>
  <c r="N83" i="5"/>
  <c r="M94" i="5"/>
  <c r="M83" i="5"/>
  <c r="B96" i="5"/>
  <c r="B94" i="5"/>
  <c r="M93" i="5"/>
  <c r="M91" i="5"/>
  <c r="M85" i="5"/>
  <c r="B83" i="5"/>
  <c r="M86" i="5"/>
  <c r="B93" i="5"/>
  <c r="R106" i="4"/>
  <c r="R110" i="4"/>
  <c r="R109" i="4"/>
  <c r="J81" i="7"/>
  <c r="Q93" i="3" s="1"/>
  <c r="G81" i="7"/>
  <c r="J93" i="3" s="1"/>
  <c r="C81" i="7"/>
  <c r="C93" i="3" s="1"/>
  <c r="C93" i="5"/>
  <c r="AW25" i="1"/>
  <c r="BG11" i="1"/>
  <c r="AY11" i="1"/>
  <c r="BF11" i="1"/>
  <c r="AX11" i="1"/>
  <c r="BD11" i="1"/>
  <c r="BH11" i="1"/>
  <c r="BE11" i="1"/>
  <c r="BC11" i="1"/>
  <c r="AZ11" i="1"/>
  <c r="AW11" i="1"/>
  <c r="BB11" i="1"/>
  <c r="BA11" i="1"/>
  <c r="N91" i="5"/>
  <c r="C89" i="5"/>
  <c r="N84" i="5"/>
  <c r="N90" i="5"/>
  <c r="C91" i="5"/>
  <c r="N89" i="5"/>
  <c r="C84" i="5"/>
  <c r="N86" i="5"/>
  <c r="N85" i="5"/>
  <c r="C86" i="5"/>
  <c r="C85" i="5"/>
  <c r="N95" i="5"/>
  <c r="C94" i="5"/>
  <c r="N96" i="5"/>
  <c r="C95" i="5"/>
  <c r="C90" i="5"/>
  <c r="N94" i="5"/>
  <c r="C96" i="5"/>
  <c r="N111" i="4"/>
  <c r="R111" i="4"/>
  <c r="N107" i="4"/>
  <c r="R107" i="4"/>
  <c r="M89" i="5"/>
  <c r="M95" i="5"/>
  <c r="M88" i="5"/>
  <c r="BF6" i="1"/>
  <c r="BF24" i="1" s="1"/>
  <c r="AV110" i="1" s="1"/>
  <c r="AX6" i="1"/>
  <c r="AX24" i="1" s="1"/>
  <c r="AP110" i="1" s="1"/>
  <c r="BE6" i="1"/>
  <c r="AW6" i="1"/>
  <c r="AW24" i="1" s="1"/>
  <c r="BC6" i="1"/>
  <c r="BC24" i="1" s="1"/>
  <c r="AS111" i="1" s="1"/>
  <c r="BG6" i="1"/>
  <c r="BA6" i="1"/>
  <c r="BA24" i="1" s="1"/>
  <c r="AS109" i="1" s="1"/>
  <c r="BD6" i="1"/>
  <c r="BB6" i="1"/>
  <c r="BB24" i="1" s="1"/>
  <c r="AS110" i="1" s="1"/>
  <c r="BH6" i="1"/>
  <c r="BH24" i="1" s="1"/>
  <c r="AV112" i="1" s="1"/>
  <c r="AZ6" i="1"/>
  <c r="AY6" i="1"/>
  <c r="C88" i="5"/>
  <c r="AG116" i="7"/>
  <c r="N115" i="4"/>
  <c r="R115" i="4"/>
  <c r="M90" i="5"/>
  <c r="B85" i="5"/>
  <c r="N93" i="5"/>
  <c r="N88" i="5"/>
  <c r="C83" i="5"/>
  <c r="B95" i="5"/>
  <c r="M96" i="5"/>
  <c r="BE10" i="1"/>
  <c r="AW10" i="1"/>
  <c r="BD10" i="1"/>
  <c r="BB10" i="1"/>
  <c r="AX10" i="1"/>
  <c r="BF10" i="1"/>
  <c r="BH10" i="1"/>
  <c r="AZ10" i="1"/>
  <c r="AZ24" i="1" s="1"/>
  <c r="AP112" i="1" s="1"/>
  <c r="AY10" i="1"/>
  <c r="AY24" i="1" s="1"/>
  <c r="AP111" i="1" s="1"/>
  <c r="BG10" i="1"/>
  <c r="BG24" i="1" s="1"/>
  <c r="AV111" i="1" s="1"/>
  <c r="BC10" i="1"/>
  <c r="BA10" i="1"/>
  <c r="B90" i="5"/>
  <c r="M84" i="5"/>
  <c r="B86" i="5"/>
  <c r="T94" i="5" l="1"/>
  <c r="S93" i="5"/>
  <c r="S96" i="5"/>
  <c r="S94" i="5"/>
  <c r="T91" i="5"/>
  <c r="S89" i="5"/>
  <c r="T89" i="5"/>
  <c r="T88" i="5"/>
  <c r="S91" i="5"/>
  <c r="T83" i="5"/>
  <c r="T84" i="5"/>
  <c r="T93" i="5"/>
  <c r="S88" i="5"/>
  <c r="R118" i="4"/>
  <c r="AR112" i="1"/>
  <c r="AQ112" i="1"/>
  <c r="AT110" i="1"/>
  <c r="AU110" i="1" s="1"/>
  <c r="AW110" i="1"/>
  <c r="AX110" i="1" s="1"/>
  <c r="D50" i="4"/>
  <c r="AU109" i="1"/>
  <c r="AT109" i="1"/>
  <c r="AT111" i="1"/>
  <c r="AU111" i="1" s="1"/>
  <c r="AW111" i="1"/>
  <c r="AX111" i="1" s="1"/>
  <c r="AP109" i="1"/>
  <c r="AW26" i="1"/>
  <c r="AQ111" i="1"/>
  <c r="AR111" i="1" s="1"/>
  <c r="BE24" i="1"/>
  <c r="AV109" i="1" s="1"/>
  <c r="AW112" i="1"/>
  <c r="AX112" i="1" s="1"/>
  <c r="T96" i="5"/>
  <c r="BD24" i="1"/>
  <c r="AS112" i="1" s="1"/>
  <c r="S84" i="5"/>
  <c r="T90" i="5"/>
  <c r="S90" i="5"/>
  <c r="AR110" i="1"/>
  <c r="AQ110" i="1"/>
  <c r="T95" i="5"/>
  <c r="S95" i="5"/>
  <c r="N118" i="4"/>
  <c r="AV25" i="1"/>
  <c r="S83" i="5"/>
  <c r="S85" i="5"/>
  <c r="T85" i="5"/>
  <c r="T86" i="5"/>
  <c r="S86" i="5"/>
  <c r="W13" i="5" l="1"/>
  <c r="W14" i="5" s="1"/>
  <c r="X8" i="5"/>
  <c r="X9" i="5" s="1"/>
  <c r="X13" i="5"/>
  <c r="X14" i="5" s="1"/>
  <c r="X3" i="5"/>
  <c r="X4" i="5" s="1"/>
  <c r="D82" i="10"/>
  <c r="D83" i="10"/>
  <c r="E83" i="10" s="1"/>
  <c r="D84" i="10"/>
  <c r="E84" i="10" s="1"/>
  <c r="D85" i="10"/>
  <c r="E85" i="10" s="1"/>
  <c r="W8" i="5"/>
  <c r="W9" i="5" s="1"/>
  <c r="W3" i="5"/>
  <c r="W4" i="5" s="1"/>
  <c r="C85" i="10"/>
  <c r="C84" i="10"/>
  <c r="C82" i="10"/>
  <c r="C83" i="10"/>
  <c r="BC112" i="1"/>
  <c r="BA111" i="1"/>
  <c r="I86" i="2" s="1"/>
  <c r="BC110" i="1"/>
  <c r="BB111" i="1"/>
  <c r="BB110" i="1"/>
  <c r="BC111" i="1"/>
  <c r="BA110" i="1"/>
  <c r="I85" i="2" s="1"/>
  <c r="D76" i="4"/>
  <c r="AW109" i="1"/>
  <c r="AX109" i="1"/>
  <c r="C116" i="4"/>
  <c r="D24" i="4"/>
  <c r="B28" i="2"/>
  <c r="C28" i="2" s="1"/>
  <c r="AR109" i="1"/>
  <c r="AQ109" i="1"/>
  <c r="BB109" i="1"/>
  <c r="BG111" i="1"/>
  <c r="BG110" i="1"/>
  <c r="BG109" i="1"/>
  <c r="AT112" i="1"/>
  <c r="AU112" i="1" s="1"/>
  <c r="BA112" i="1"/>
  <c r="I87" i="2" s="1"/>
  <c r="X5" i="5" l="1"/>
  <c r="BB112" i="1"/>
  <c r="X10" i="5"/>
  <c r="BG112" i="1"/>
  <c r="W10" i="5"/>
  <c r="BH112" i="1"/>
  <c r="BH110" i="1"/>
  <c r="BH111" i="1"/>
  <c r="BC109" i="1"/>
  <c r="BH109" i="1"/>
  <c r="D116" i="4"/>
  <c r="AY109" i="1"/>
  <c r="AY110" i="1"/>
  <c r="AY111" i="1"/>
  <c r="AY112" i="1"/>
  <c r="X15" i="5"/>
  <c r="BA109" i="1"/>
  <c r="BF112" i="1"/>
  <c r="B82" i="6" s="1"/>
  <c r="C82" i="6" s="1"/>
  <c r="BF109" i="1"/>
  <c r="B79" i="6" s="1"/>
  <c r="C79" i="6" s="1"/>
  <c r="BF110" i="1"/>
  <c r="B80" i="6" s="1"/>
  <c r="C80" i="6" s="1"/>
  <c r="BF111" i="1"/>
  <c r="B81" i="6" s="1"/>
  <c r="C81" i="6" s="1"/>
  <c r="E28" i="2"/>
  <c r="D28" i="2" s="1"/>
  <c r="O28" i="2" s="1"/>
  <c r="S28" i="2"/>
  <c r="W5" i="5"/>
  <c r="W15" i="5"/>
  <c r="I84" i="2" l="1"/>
  <c r="V84" i="2"/>
  <c r="G71" i="9" s="1"/>
  <c r="D91" i="3" l="1"/>
  <c r="E79" i="7"/>
  <c r="M79" i="7" s="1"/>
  <c r="D79" i="6"/>
  <c r="V85" i="2"/>
  <c r="G72" i="9" s="1"/>
  <c r="BC4" i="2"/>
  <c r="BC27" i="2" s="1"/>
  <c r="J84" i="2"/>
  <c r="J85" i="2" s="1"/>
  <c r="J86" i="2" s="1"/>
  <c r="J87" i="2" s="1"/>
  <c r="P28" i="2" s="1"/>
  <c r="K84" i="2"/>
  <c r="K85" i="2" s="1"/>
  <c r="K86" i="2" s="1"/>
  <c r="K87" i="2" s="1"/>
  <c r="Q28" i="2" s="1"/>
  <c r="L84" i="2"/>
  <c r="L85" i="2" s="1"/>
  <c r="L86" i="2" s="1"/>
  <c r="L87" i="2" s="1"/>
  <c r="R28" i="2" s="1"/>
  <c r="W84" i="2"/>
  <c r="N71" i="9" s="1"/>
  <c r="X84" i="2"/>
  <c r="U71" i="9" s="1"/>
  <c r="F91" i="3" l="1"/>
  <c r="H91" i="3" s="1"/>
  <c r="D92" i="3"/>
  <c r="D80" i="6"/>
  <c r="E80" i="7"/>
  <c r="M80" i="7" s="1"/>
  <c r="BD4" i="2"/>
  <c r="BD27" i="2" s="1"/>
  <c r="V86" i="2"/>
  <c r="G73" i="9" s="1"/>
  <c r="K79" i="7"/>
  <c r="R91" i="3"/>
  <c r="X85" i="2"/>
  <c r="U72" i="9" s="1"/>
  <c r="BK4" i="2"/>
  <c r="BK27" i="2" s="1"/>
  <c r="K91" i="3"/>
  <c r="H79" i="7"/>
  <c r="BG4" i="2"/>
  <c r="BG27" i="2" s="1"/>
  <c r="W85" i="2"/>
  <c r="N72" i="9" s="1"/>
  <c r="BD11" i="2" l="1"/>
  <c r="BD19" i="2"/>
  <c r="BD12" i="2"/>
  <c r="BD23" i="2"/>
  <c r="BD25" i="2"/>
  <c r="BD15" i="2"/>
  <c r="BD13" i="2"/>
  <c r="BD24" i="2"/>
  <c r="BD6" i="2"/>
  <c r="BD14" i="2"/>
  <c r="BD7" i="2"/>
  <c r="BD8" i="2"/>
  <c r="BD16" i="2"/>
  <c r="BD9" i="2"/>
  <c r="BD17" i="2"/>
  <c r="BD10" i="2"/>
  <c r="BD18" i="2"/>
  <c r="BD26" i="2"/>
  <c r="E91" i="3"/>
  <c r="B91" i="3" s="1"/>
  <c r="F92" i="3"/>
  <c r="H92" i="3" s="1"/>
  <c r="E92" i="3" s="1"/>
  <c r="B92" i="3" s="1"/>
  <c r="K80" i="7"/>
  <c r="R92" i="3"/>
  <c r="BL4" i="2"/>
  <c r="BL27" i="2" s="1"/>
  <c r="X86" i="2"/>
  <c r="U73" i="9" s="1"/>
  <c r="T91" i="3"/>
  <c r="V91" i="3" s="1"/>
  <c r="S91" i="3" s="1"/>
  <c r="P91" i="3" s="1"/>
  <c r="H80" i="7"/>
  <c r="K92" i="3"/>
  <c r="W86" i="2"/>
  <c r="N73" i="9" s="1"/>
  <c r="BH4" i="2"/>
  <c r="BH27" i="2" s="1"/>
  <c r="M91" i="3"/>
  <c r="O91" i="3" s="1"/>
  <c r="L91" i="3" s="1"/>
  <c r="I91" i="3" s="1"/>
  <c r="D81" i="6"/>
  <c r="D93" i="3"/>
  <c r="V87" i="2"/>
  <c r="G74" i="9" s="1"/>
  <c r="E81" i="7"/>
  <c r="M81" i="7" s="1"/>
  <c r="BE4" i="2"/>
  <c r="BE27" i="2" s="1"/>
  <c r="BL17" i="2" l="1"/>
  <c r="BL13" i="2"/>
  <c r="BL7" i="2"/>
  <c r="BL16" i="2"/>
  <c r="BL12" i="2"/>
  <c r="BL6" i="2"/>
  <c r="BL15" i="2"/>
  <c r="BL11" i="2"/>
  <c r="BL10" i="2"/>
  <c r="BL14" i="2"/>
  <c r="BL9" i="2"/>
  <c r="BL25" i="2"/>
  <c r="BL19" i="2"/>
  <c r="BL24" i="2"/>
  <c r="BL18" i="2"/>
  <c r="BL8" i="2"/>
  <c r="BL23" i="2"/>
  <c r="BL26" i="2"/>
  <c r="BH13" i="2"/>
  <c r="BH7" i="2"/>
  <c r="BH19" i="2"/>
  <c r="BH12" i="2"/>
  <c r="BH6" i="2"/>
  <c r="BI6" i="2" s="1"/>
  <c r="BH17" i="2"/>
  <c r="BH26" i="2"/>
  <c r="BH18" i="2"/>
  <c r="BH11" i="2"/>
  <c r="BH16" i="2"/>
  <c r="BH10" i="2"/>
  <c r="BH24" i="2"/>
  <c r="BH15" i="2"/>
  <c r="BI15" i="2" s="1"/>
  <c r="BH9" i="2"/>
  <c r="BH14" i="2"/>
  <c r="BH8" i="2"/>
  <c r="BH23" i="2"/>
  <c r="BH25" i="2"/>
  <c r="BE23" i="2"/>
  <c r="BE8" i="2"/>
  <c r="BE13" i="2"/>
  <c r="BE18" i="2"/>
  <c r="BE24" i="2"/>
  <c r="BE19" i="2"/>
  <c r="BE26" i="2"/>
  <c r="BE9" i="2"/>
  <c r="BE14" i="2"/>
  <c r="BE25" i="2"/>
  <c r="BE10" i="2"/>
  <c r="BE15" i="2"/>
  <c r="BE11" i="2"/>
  <c r="BE6" i="2"/>
  <c r="BE16" i="2"/>
  <c r="BE7" i="2"/>
  <c r="BE12" i="2"/>
  <c r="BE17" i="2"/>
  <c r="F71" i="9"/>
  <c r="E71" i="9" s="1"/>
  <c r="Y91" i="3"/>
  <c r="Y92" i="3"/>
  <c r="F72" i="9"/>
  <c r="AA91" i="3"/>
  <c r="T71" i="9"/>
  <c r="S71" i="9" s="1"/>
  <c r="Z91" i="3"/>
  <c r="M71" i="9"/>
  <c r="L71" i="9" s="1"/>
  <c r="D94" i="3"/>
  <c r="D82" i="6"/>
  <c r="E82" i="7"/>
  <c r="M82" i="7" s="1"/>
  <c r="BF4" i="2"/>
  <c r="BF27" i="2" s="1"/>
  <c r="H81" i="7"/>
  <c r="K93" i="3"/>
  <c r="W87" i="2"/>
  <c r="N74" i="9" s="1"/>
  <c r="BI4" i="2"/>
  <c r="BI27" i="2" s="1"/>
  <c r="K81" i="7"/>
  <c r="R93" i="3"/>
  <c r="X87" i="2"/>
  <c r="U74" i="9" s="1"/>
  <c r="BM4" i="2"/>
  <c r="BM27" i="2" s="1"/>
  <c r="M92" i="3"/>
  <c r="O92" i="3" s="1"/>
  <c r="L92" i="3" s="1"/>
  <c r="I92" i="3" s="1"/>
  <c r="F93" i="3"/>
  <c r="H93" i="3" s="1"/>
  <c r="T92" i="3"/>
  <c r="V92" i="3" s="1"/>
  <c r="S92" i="3" s="1"/>
  <c r="P92" i="3" s="1"/>
  <c r="BF17" i="2" l="1"/>
  <c r="BF25" i="2"/>
  <c r="BM18" i="2"/>
  <c r="BF10" i="2"/>
  <c r="BM15" i="2"/>
  <c r="BF18" i="2"/>
  <c r="BI9" i="2"/>
  <c r="BI17" i="2"/>
  <c r="BM11" i="2"/>
  <c r="BI24" i="2"/>
  <c r="BI12" i="2"/>
  <c r="BM24" i="2"/>
  <c r="BI19" i="2"/>
  <c r="BI18" i="2"/>
  <c r="BI11" i="2"/>
  <c r="BI25" i="2"/>
  <c r="BI10" i="2"/>
  <c r="BI23" i="2"/>
  <c r="BF14" i="2"/>
  <c r="BF23" i="2"/>
  <c r="BM19" i="2"/>
  <c r="BF9" i="2"/>
  <c r="BI16" i="2"/>
  <c r="BI7" i="2"/>
  <c r="BM25" i="2"/>
  <c r="BF26" i="2"/>
  <c r="BI13" i="2"/>
  <c r="BM9" i="2"/>
  <c r="BM7" i="2"/>
  <c r="BM16" i="2"/>
  <c r="BM12" i="2"/>
  <c r="BM6" i="2"/>
  <c r="BM14" i="2"/>
  <c r="BM23" i="2"/>
  <c r="BM8" i="2"/>
  <c r="BM13" i="2"/>
  <c r="BF8" i="2"/>
  <c r="BF13" i="2"/>
  <c r="BF24" i="2"/>
  <c r="BF19" i="2"/>
  <c r="BF11" i="2"/>
  <c r="BF16" i="2"/>
  <c r="BF7" i="2"/>
  <c r="BF12" i="2"/>
  <c r="BF15" i="2"/>
  <c r="BF6" i="2"/>
  <c r="BI8" i="2"/>
  <c r="BM26" i="2"/>
  <c r="BI14" i="2"/>
  <c r="BJ14" i="2" s="1"/>
  <c r="BI26" i="2"/>
  <c r="BM10" i="2"/>
  <c r="BM17" i="2"/>
  <c r="E93" i="3"/>
  <c r="B93" i="3" s="1"/>
  <c r="AA92" i="3"/>
  <c r="T72" i="9"/>
  <c r="Z92" i="3"/>
  <c r="M72" i="9"/>
  <c r="K82" i="7"/>
  <c r="R94" i="3"/>
  <c r="BN4" i="2"/>
  <c r="BN27" i="2" s="1"/>
  <c r="BN13" i="2" s="1"/>
  <c r="H82" i="7"/>
  <c r="K94" i="3"/>
  <c r="BJ4" i="2"/>
  <c r="BJ27" i="2" s="1"/>
  <c r="BJ6" i="2" s="1"/>
  <c r="M93" i="3"/>
  <c r="O93" i="3" s="1"/>
  <c r="L93" i="3" s="1"/>
  <c r="I93" i="3" s="1"/>
  <c r="K116" i="4"/>
  <c r="BF29" i="2"/>
  <c r="F94" i="3"/>
  <c r="H94" i="3" s="1"/>
  <c r="T93" i="3"/>
  <c r="V93" i="3" s="1"/>
  <c r="S93" i="3" s="1"/>
  <c r="P93" i="3" s="1"/>
  <c r="BN24" i="2" l="1"/>
  <c r="BN23" i="2"/>
  <c r="BN26" i="2"/>
  <c r="BJ15" i="2"/>
  <c r="BN14" i="2"/>
  <c r="BN18" i="2"/>
  <c r="BJ23" i="2"/>
  <c r="BJ12" i="2"/>
  <c r="BN6" i="2"/>
  <c r="BN25" i="2"/>
  <c r="BJ10" i="2"/>
  <c r="BJ24" i="2"/>
  <c r="BN12" i="2"/>
  <c r="BJ7" i="2"/>
  <c r="BJ25" i="2"/>
  <c r="BN11" i="2"/>
  <c r="BJ8" i="2"/>
  <c r="BN16" i="2"/>
  <c r="BJ16" i="2"/>
  <c r="BJ11" i="2"/>
  <c r="BJ17" i="2"/>
  <c r="BN17" i="2"/>
  <c r="BN7" i="2"/>
  <c r="BJ18" i="2"/>
  <c r="BJ9" i="2"/>
  <c r="BN10" i="2"/>
  <c r="BN9" i="2"/>
  <c r="BN19" i="2"/>
  <c r="BJ19" i="2"/>
  <c r="BJ26" i="2"/>
  <c r="BN8" i="2"/>
  <c r="BJ13" i="2"/>
  <c r="BN15" i="2"/>
  <c r="F73" i="9"/>
  <c r="Y93" i="3"/>
  <c r="E94" i="3"/>
  <c r="B94" i="3" s="1"/>
  <c r="Y94" i="3" s="1"/>
  <c r="AA93" i="3"/>
  <c r="T73" i="9"/>
  <c r="Z93" i="3"/>
  <c r="M73" i="9"/>
  <c r="T94" i="3"/>
  <c r="V94" i="3" s="1"/>
  <c r="S94" i="3" s="1"/>
  <c r="P94" i="3" s="1"/>
  <c r="BN29" i="2"/>
  <c r="M94" i="3"/>
  <c r="O94" i="3" s="1"/>
  <c r="L94" i="3" s="1"/>
  <c r="I94" i="3" s="1"/>
  <c r="BJ29" i="2"/>
  <c r="K24" i="4" l="1"/>
  <c r="E24" i="4"/>
  <c r="F74" i="9"/>
  <c r="L116" i="4"/>
  <c r="Z94" i="3"/>
  <c r="E50" i="4" s="1"/>
  <c r="M74" i="9"/>
  <c r="AA94" i="3"/>
  <c r="K76" i="4" s="1"/>
  <c r="T74" i="9"/>
  <c r="T24" i="4" l="1"/>
  <c r="AD24" i="4" s="1"/>
  <c r="AE24" i="4" s="1"/>
  <c r="AH24" i="4" s="1"/>
  <c r="E78" i="11" s="1"/>
  <c r="E76" i="4"/>
  <c r="T76" i="4" s="1"/>
  <c r="AD76" i="4" s="1"/>
  <c r="K50" i="4"/>
  <c r="T50" i="4" s="1"/>
  <c r="AD50" i="4" s="1"/>
  <c r="M116" i="4"/>
  <c r="J116" i="4"/>
  <c r="AV31" i="4" l="1"/>
  <c r="AY31" i="4" s="1"/>
  <c r="D78" i="11" s="1"/>
  <c r="D75" i="11" s="1"/>
  <c r="D76" i="11" s="1"/>
  <c r="D77" i="11" s="1"/>
  <c r="E75" i="11"/>
  <c r="E76" i="11" s="1"/>
  <c r="E77" i="11" s="1"/>
  <c r="AE76" i="4"/>
  <c r="AJ24" i="4" s="1"/>
  <c r="AC78" i="11" s="1"/>
  <c r="AC75" i="11" s="1"/>
  <c r="AC76" i="11" s="1"/>
  <c r="AC77" i="11" s="1"/>
  <c r="AX31" i="4"/>
  <c r="BA31" i="4" s="1"/>
  <c r="AB78" i="11" s="1"/>
  <c r="AE50" i="4"/>
  <c r="AI24" i="4" s="1"/>
  <c r="Q78" i="11" s="1"/>
  <c r="AW31" i="4"/>
  <c r="AZ31" i="4" s="1"/>
  <c r="P78" i="11" s="1"/>
  <c r="J78" i="11" l="1"/>
  <c r="P75" i="11"/>
  <c r="V78" i="11"/>
  <c r="AH78" i="11"/>
  <c r="AB75" i="11"/>
  <c r="Q75" i="11"/>
  <c r="Q76" i="11" s="1"/>
  <c r="Q77" i="11" s="1"/>
  <c r="J75" i="11"/>
  <c r="L75" i="11"/>
  <c r="B75" i="11" s="1"/>
  <c r="AB76" i="11" l="1"/>
  <c r="AH75" i="11"/>
  <c r="AJ75" i="11"/>
  <c r="Z75" i="11" s="1"/>
  <c r="P76" i="11"/>
  <c r="X75" i="11"/>
  <c r="N75" i="11" s="1"/>
  <c r="V75" i="11"/>
  <c r="K75" i="11"/>
  <c r="L76" i="11" s="1"/>
  <c r="B76" i="11" s="1"/>
  <c r="E76" i="12" s="1"/>
  <c r="E75" i="12"/>
  <c r="B75" i="12" s="1"/>
  <c r="J77" i="11"/>
  <c r="J76" i="11"/>
  <c r="K75" i="12" l="1"/>
  <c r="I75" i="12" s="1"/>
  <c r="AI75" i="11"/>
  <c r="AJ76" i="11" s="1"/>
  <c r="Z76" i="11" s="1"/>
  <c r="H75" i="12"/>
  <c r="F75" i="12" s="1"/>
  <c r="W75" i="11"/>
  <c r="X76" i="11" s="1"/>
  <c r="N76" i="11" s="1"/>
  <c r="P77" i="11"/>
  <c r="V77" i="11" s="1"/>
  <c r="V76" i="11"/>
  <c r="AB77" i="11"/>
  <c r="AH77" i="11" s="1"/>
  <c r="AH76" i="11"/>
  <c r="K76" i="11"/>
  <c r="L77" i="11" s="1"/>
  <c r="B77" i="11" s="1"/>
  <c r="K77" i="11" s="1"/>
  <c r="L78" i="11" s="1"/>
  <c r="B78" i="11" s="1"/>
  <c r="C76" i="12"/>
  <c r="H72" i="9" s="1"/>
  <c r="E72" i="9" s="1"/>
  <c r="B76" i="12"/>
  <c r="H76" i="12" l="1"/>
  <c r="F76" i="12" s="1"/>
  <c r="W76" i="11"/>
  <c r="X77" i="11" s="1"/>
  <c r="N77" i="11" s="1"/>
  <c r="G76" i="12"/>
  <c r="O72" i="9" s="1"/>
  <c r="L72" i="9" s="1"/>
  <c r="K76" i="12"/>
  <c r="AI76" i="11"/>
  <c r="AJ77" i="11" s="1"/>
  <c r="Z77" i="11" s="1"/>
  <c r="I76" i="12"/>
  <c r="J76" i="12"/>
  <c r="V72" i="9" s="1"/>
  <c r="S72" i="9" s="1"/>
  <c r="E77" i="12"/>
  <c r="B77" i="12" s="1"/>
  <c r="C77" i="12"/>
  <c r="H73" i="9" s="1"/>
  <c r="E73" i="9" s="1"/>
  <c r="K78" i="11"/>
  <c r="E78" i="12"/>
  <c r="K77" i="12" l="1"/>
  <c r="I77" i="12" s="1"/>
  <c r="AI77" i="11"/>
  <c r="AJ78" i="11" s="1"/>
  <c r="Z78" i="11" s="1"/>
  <c r="G77" i="12"/>
  <c r="O73" i="9" s="1"/>
  <c r="L73" i="9" s="1"/>
  <c r="J77" i="12"/>
  <c r="V73" i="9" s="1"/>
  <c r="S73" i="9" s="1"/>
  <c r="H77" i="12"/>
  <c r="F77" i="12" s="1"/>
  <c r="W77" i="11"/>
  <c r="X78" i="11" s="1"/>
  <c r="N78" i="11" s="1"/>
  <c r="B78" i="12"/>
  <c r="C78" i="12"/>
  <c r="H74" i="9" s="1"/>
  <c r="E74" i="9" s="1"/>
  <c r="W78" i="11" l="1"/>
  <c r="H78" i="12"/>
  <c r="F78" i="12" s="1"/>
  <c r="G78" i="12"/>
  <c r="O74" i="9" s="1"/>
  <c r="L74" i="9" s="1"/>
  <c r="J78" i="12"/>
  <c r="V74" i="9" s="1"/>
  <c r="S74" i="9" s="1"/>
  <c r="AI78" i="11"/>
  <c r="K78" i="12"/>
  <c r="I78" i="12" s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theme="1"/>
            <rFont val="Arial"/>
            <family val="2"/>
            <charset val="238"/>
          </rPr>
          <t>======
ID#AAAAGaakBYk
Author    (2020-04-15 07:23:50)
tablica J1 (HNB) stupac L</t>
        </r>
      </text>
    </comment>
    <comment ref="D2" authorId="0" shapeId="0">
      <text>
        <r>
          <rPr>
            <sz val="11"/>
            <color theme="1"/>
            <rFont val="Arial"/>
            <family val="2"/>
            <charset val="238"/>
          </rPr>
          <t>======
ID#AAAAGaakBYQ
Author    (2020-04-15 07:23:50)
administrativna stopa nezaposlenosti iz biltena</t>
        </r>
      </text>
    </comment>
    <comment ref="F2" authorId="0" shapeId="0">
      <text>
        <r>
          <rPr>
            <sz val="11"/>
            <color theme="1"/>
            <rFont val="Arial"/>
            <family val="2"/>
            <charset val="238"/>
          </rPr>
          <t>======
ID#AAAAGaakBYM
Author    (2020-04-15 07:23:50)
provjeriti da li su podaci konzistentni s podacima iz sheet-a nezaposlenost</t>
        </r>
      </text>
    </comment>
    <comment ref="J2" authorId="0" shapeId="0">
      <text>
        <r>
          <rPr>
            <sz val="11"/>
            <color theme="1"/>
            <rFont val="Arial"/>
            <family val="2"/>
            <charset val="238"/>
          </rPr>
          <t>======
ID#AAAAGaakBYU
Author    (2020-04-15 07:23:50)
tablica J1 (HNB) stupac L</t>
        </r>
      </text>
    </comment>
    <comment ref="K2" authorId="0" shapeId="0">
      <text>
        <r>
          <rPr>
            <sz val="11"/>
            <color theme="1"/>
            <rFont val="Arial"/>
            <family val="2"/>
            <charset val="238"/>
          </rPr>
          <t>======
ID#AAAAGaakBYI
Author    (2020-04-15 07:23:50)
administrativna stopa nezaposlenosti iz biltena</t>
        </r>
      </text>
    </comment>
    <comment ref="M2" authorId="0" shapeId="0">
      <text>
        <r>
          <rPr>
            <sz val="11"/>
            <color theme="1"/>
            <rFont val="Arial"/>
            <family val="2"/>
            <charset val="238"/>
          </rPr>
          <t>======
ID#AAAAGaakBYc
Author    (2020-04-15 07:23:50)
provjeriti da li su podaci konzistentni s podacima iz sheet-a nezaposlenost</t>
        </r>
      </text>
    </comment>
    <comment ref="Q2" authorId="0" shapeId="0">
      <text>
        <r>
          <rPr>
            <sz val="11"/>
            <color theme="1"/>
            <rFont val="Arial"/>
            <family val="2"/>
            <charset val="238"/>
          </rPr>
          <t>======
ID#AAAAGaakBYE
Author    (2020-04-15 07:23:50)
tablica J1 (HNB) stupac L</t>
        </r>
      </text>
    </comment>
    <comment ref="R2" authorId="0" shapeId="0">
      <text>
        <r>
          <rPr>
            <sz val="11"/>
            <color theme="1"/>
            <rFont val="Arial"/>
            <family val="2"/>
            <charset val="238"/>
          </rPr>
          <t>======
ID#AAAAGaakBYY
Author    (2020-04-15 07:23:50)
administrativna stopa nezaposlenosti iz biltena</t>
        </r>
      </text>
    </comment>
    <comment ref="T2" authorId="0" shapeId="0">
      <text>
        <r>
          <rPr>
            <sz val="11"/>
            <color theme="1"/>
            <rFont val="Arial"/>
            <family val="2"/>
            <charset val="238"/>
          </rPr>
          <t>======
ID#AAAAGaakBYg
Author    (2020-04-15 07:23:50)
provjeriti da li su podaci konzistentni s podacima iz sheet-a nezaposlenost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UDXdDArC6inEK4cWHg4PRL8ZdQ=="/>
    </ext>
  </extLst>
</comments>
</file>

<file path=xl/comments2.xml><?xml version="1.0" encoding="utf-8"?>
<comments xmlns="http://schemas.openxmlformats.org/spreadsheetml/2006/main">
  <authors>
    <author>bambas</author>
    <author/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od 2008. zalijepljene su stope rasta plasmana na temelju transakcija iz biltena</t>
        </r>
      </text>
    </comment>
    <comment ref="E2" authorId="1" shapeId="0">
      <text>
        <r>
          <rPr>
            <sz val="11"/>
            <color theme="1"/>
            <rFont val="Arial"/>
            <family val="2"/>
            <charset val="238"/>
          </rPr>
          <t>======
ID#AAAAGcaDUIE
Author    (2020-04-23 10:28:26)
procijenjeno pomoću HP filtera za lambda=25000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rO0UL7/XIY4rn9LEYrYRqem2EQ=="/>
    </ext>
  </extLst>
</comments>
</file>

<file path=xl/comments3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1"/>
            <color theme="1"/>
            <rFont val="Arial"/>
            <family val="2"/>
            <charset val="238"/>
          </rPr>
          <t>======
ID#AAAAGcaDUH4
Author    (2020-04-23 10:28:26)
procijenjeno pomoću HP filtera za lambda=25000</t>
        </r>
      </text>
    </comment>
    <comment ref="I2" authorId="0" shapeId="0">
      <text>
        <r>
          <rPr>
            <sz val="11"/>
            <color theme="1"/>
            <rFont val="Arial"/>
            <family val="2"/>
            <charset val="238"/>
          </rPr>
          <t>======
ID#AAAAGcaDUH8
Author    (2020-04-23 10:28:26)
procijenjeno pomoću HP filtera za lambda=25000</t>
        </r>
      </text>
    </comment>
    <comment ref="L2" authorId="0" shapeId="0">
      <text>
        <r>
          <rPr>
            <sz val="11"/>
            <color theme="1"/>
            <rFont val="Arial"/>
            <family val="2"/>
            <charset val="238"/>
          </rPr>
          <t>======
ID#AAAAGcaDUIA
Author    (2020-04-23 10:28:26)
procijenjeno pomoću HP filtera za lambda=25000</t>
        </r>
      </text>
    </comment>
    <comment ref="D82" authorId="0" shapeId="0">
      <text>
        <r>
          <rPr>
            <sz val="11"/>
            <color theme="1"/>
            <rFont val="Arial"/>
            <family val="2"/>
            <charset val="238"/>
          </rPr>
          <t>======
ID#AAAAGcaDUII
Author    (2020-04-23 10:28:26)
ECB projekcije iz ožujka
https://www.ecb.europa.eu/pub/projections/html/ecb.projections202003_ecbstaff~dfa19e18c4.en.html#toc6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pQBnNUSmsIBvv0ZMunFNUMfjCA=="/>
    </ext>
  </extLst>
</comments>
</file>

<file path=xl/comments4.xml><?xml version="1.0" encoding="utf-8"?>
<comments xmlns="http://schemas.openxmlformats.org/spreadsheetml/2006/main">
  <authors>
    <author>bambas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godišnja stopa promjene indeksa jada, pri čemu je jad=stopa_nezaposlenosti+inflacija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modeli su rađeni s kreditima kućanstvima, a ovdje su ukupni plasmani</t>
        </r>
      </text>
    </comment>
  </commentList>
</comments>
</file>

<file path=xl/comments5.xml><?xml version="1.0" encoding="utf-8"?>
<comments xmlns="http://schemas.openxmlformats.org/spreadsheetml/2006/main">
  <authors>
    <author/>
    <author>bambas</author>
  </authors>
  <commentList>
    <comment ref="E3" authorId="0" shapeId="0">
      <text>
        <r>
          <rPr>
            <sz val="11"/>
            <color theme="1"/>
            <rFont val="Arial"/>
            <family val="2"/>
            <charset val="238"/>
          </rPr>
          <t>======
ID#AAAAGcSicz8
Andrijana Kulisic    (2020-04-23 11:40:41)
2019. ukupno 26.661</t>
        </r>
      </text>
    </comment>
    <comment ref="C4" authorId="0" shapeId="0">
      <text>
        <r>
          <rPr>
            <sz val="11"/>
            <color theme="1"/>
            <rFont val="Arial"/>
            <family val="2"/>
            <charset val="238"/>
          </rPr>
          <t>======
ID#AAAAGaQ16SY
Author    (2020-04-16 14:05:37)
porez na imovinu
+
porez na korištenje fiksne imovine
+
poslovne licence
+
porez na onečišćenje
+
ostali</t>
        </r>
      </text>
    </comment>
    <comment ref="E4" authorId="0" shapeId="0">
      <text>
        <r>
          <rPr>
            <sz val="11"/>
            <color theme="1"/>
            <rFont val="Arial"/>
            <family val="2"/>
            <charset val="238"/>
          </rPr>
          <t>======
ID#AAAAGaQ16SM
Author    (2020-04-16 14:05:37)
porez na primanja
+
porez na dobit
+
porez na kapitalnu zaradu</t>
        </r>
      </text>
    </comment>
    <comment ref="AS4" authorId="1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I3 tablica, link: https://www.hnb.hr/statistika/statisticki-podaci/opca-drzava/dug-opce-drzave</t>
        </r>
      </text>
    </comment>
    <comment ref="A23" authorId="0" shapeId="0">
      <text>
        <r>
          <rPr>
            <sz val="11"/>
            <color theme="1"/>
            <rFont val="Arial"/>
            <family val="2"/>
            <charset val="238"/>
          </rPr>
          <t>======
ID#AAAAGaQ16Sk
Author    (2020-04-16 14:05:37)
Brojevi za 2019. su "procijenjeni" tako da su uzeti kvartalni podaci za prva 3 kvartala 2019. i zadnji kvartal 2018.</t>
        </r>
      </text>
    </comment>
    <comment ref="T23" authorId="0" shapeId="0">
      <text>
        <r>
          <rPr>
            <sz val="11"/>
            <color theme="1"/>
            <rFont val="Arial"/>
            <family val="2"/>
            <charset val="238"/>
          </rPr>
          <t>======
ID#AAAAGcdCVQo
Andrijana Kulisic    (2020-04-23 12:19:38)
2019. : 190.097</t>
        </r>
      </text>
    </comment>
    <comment ref="AD23" authorId="0" shapeId="0">
      <text>
        <r>
          <rPr>
            <sz val="11"/>
            <color theme="1"/>
            <rFont val="Arial"/>
            <family val="2"/>
            <charset val="238"/>
          </rPr>
          <t>======
ID#AAAAGcUQzH8
Andrijana Kulisic    (2020-04-23 13:47:02)
2019. : 1.553</t>
        </r>
      </text>
    </comment>
    <comment ref="AE23" authorId="0" shapeId="0">
      <text>
        <r>
          <rPr>
            <sz val="11"/>
            <color theme="1"/>
            <rFont val="Arial"/>
            <family val="2"/>
            <charset val="238"/>
          </rPr>
          <t>======
ID#AAAAGcUQzII
Andrijana Kulisic    (2020-04-23 13:48:54)
2019. : 0.4</t>
        </r>
      </text>
    </comment>
    <comment ref="AG23" authorId="0" shapeId="0">
      <text>
        <r>
          <rPr>
            <sz val="11"/>
            <color theme="1"/>
            <rFont val="Arial"/>
            <family val="2"/>
            <charset val="238"/>
          </rPr>
          <t>======
ID#AAAAGaQ16Rw
Author    (2020-04-16 14:05:37)
Brojevi za 2019. su "procijenjeni" tako da su uzeti kvartalni podaci za prva 3 kvartala 2019. i zadnji kvartal 2018.</t>
        </r>
      </text>
    </comment>
    <comment ref="D24" authorId="0" shapeId="0">
      <text>
        <r>
          <rPr>
            <sz val="11"/>
            <color theme="1"/>
            <rFont val="Arial"/>
            <family val="2"/>
            <charset val="238"/>
          </rPr>
          <t>======
ID#AAAAGaQ16R8
Author    (2020-04-16 14:05:37)
Omjer ove porezne stavke i BDV-a se kretao između 24% i 20% (u kriznim periodima), trenutno je fiksirano na 21% jer je u proteklim godinama opažen uzlazni trend</t>
        </r>
      </text>
    </comment>
    <comment ref="E24" authorId="0" shapeId="0">
      <text>
        <r>
          <rPr>
            <sz val="11"/>
            <color theme="1"/>
            <rFont val="Arial"/>
            <family val="2"/>
            <charset val="238"/>
          </rPr>
          <t>======
ID#AAAAGaQ16S8
Author    (2020-04-16 14:05:37)
Omjer doprinosa i godišnje mase plaća fiksiran je na 9%, višegodišnji prosjek je na 9,1%</t>
        </r>
      </text>
    </comment>
    <comment ref="F24" authorId="0" shapeId="0">
      <text>
        <r>
          <rPr>
            <sz val="11"/>
            <color theme="1"/>
            <rFont val="Arial"/>
            <family val="2"/>
            <charset val="238"/>
          </rPr>
          <t>======
ID#AAAAGaQ16So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24" authorId="0" shapeId="0">
      <text>
        <r>
          <rPr>
            <sz val="11"/>
            <color theme="1"/>
            <rFont val="Arial"/>
            <family val="2"/>
            <charset val="238"/>
          </rPr>
          <t>======
ID#AAAAGaQ16SI
Author    (2020-04-16 14:05:37)
Omjer doprinosa i godišnje mase plaća fiksiran je na 29%, iako je prosjek bliže 30%, no u zadnjih nekoliko godina je opažen trend pada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dodano 8,8 mlrd. HRK eu pomoći za koronu</t>
        </r>
      </text>
    </comment>
    <comment ref="V24" authorId="0" shapeId="0">
      <text>
        <r>
          <rPr>
            <sz val="11"/>
            <color theme="1"/>
            <rFont val="Arial"/>
            <family val="2"/>
            <charset val="238"/>
          </rPr>
          <t>======
ID#AAAAJdAFgtQ
Andrijana Kulisic    (2020-04-23 14:37:01)
+3% povećanje u odnosu na 2019. radi rasta plaća</t>
        </r>
      </text>
    </comment>
    <comment ref="X24" authorId="0" shapeId="0">
      <text>
        <r>
          <rPr>
            <sz val="11"/>
            <color theme="1"/>
            <rFont val="Arial"/>
            <family val="2"/>
            <charset val="238"/>
          </rPr>
          <t>======
ID#AAAAJdAFgts
Andrijana Kulisic    (2020-04-23 14:42:38)
nakon krize 2008. uslijedio je pad za oko 3,5% u 2009. godini, ovdje se uzeo pad od 5%</t>
        </r>
      </text>
    </comment>
    <comment ref="Z24" authorId="0" shapeId="0">
      <text>
        <r>
          <rPr>
            <sz val="11"/>
            <color theme="1"/>
            <rFont val="Arial"/>
            <family val="2"/>
            <charset val="238"/>
          </rPr>
          <t>======
ID#AAAAJdAFgt0
Andrijana Kulisic    (2020-04-23 14:43:14)
povećati za potencijalne novoizdane obveznice</t>
        </r>
      </text>
    </comment>
    <comment ref="AA24" authorId="0" shapeId="0">
      <text>
        <r>
          <rPr>
            <sz val="11"/>
            <color theme="1"/>
            <rFont val="Arial"/>
            <family val="2"/>
            <charset val="238"/>
          </rPr>
          <t>======
ID#AAAAJdAFguQ
Andrijana Kulisic    (2020-04-23 14:46:05)
uzete u obzir previđene procjene za izdatke za mirovine za 2020. te povećanje izdataka sa HZZ-a, kao i povećanje porodiljnih naknada od 1.4.2020.</t>
        </r>
      </text>
    </comment>
    <comment ref="AB24" authorId="1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mjere vlade za očuvanje radnih mjesta (minimalne plaće i socijalni doprinosi za ožujak, travanj i svibanj)</t>
        </r>
      </text>
    </comment>
    <comment ref="AC24" authorId="0" shapeId="0">
      <text>
        <r>
          <rPr>
            <sz val="11"/>
            <color theme="1"/>
            <rFont val="Arial"/>
            <family val="2"/>
            <charset val="238"/>
          </rPr>
          <t>======
ID#AAAAGcUQzH4
Andrijana Kulisic    (2020-04-23 13:45:57)
2019. : 188.543</t>
        </r>
      </text>
    </comment>
    <comment ref="C30" authorId="0" shapeId="0">
      <text>
        <r>
          <rPr>
            <sz val="11"/>
            <color theme="1"/>
            <rFont val="Arial"/>
            <family val="2"/>
            <charset val="238"/>
          </rPr>
          <t>======
ID#AAAAGaQ16SQ
Author    (2020-04-16 14:05:37)
porez na imovinu
+
porez na korištenje fiksne imovine
+
poslovne licence
+
porez na onečišćenje
+
ostali</t>
        </r>
      </text>
    </comment>
    <comment ref="E30" authorId="0" shapeId="0">
      <text>
        <r>
          <rPr>
            <sz val="11"/>
            <color theme="1"/>
            <rFont val="Arial"/>
            <family val="2"/>
            <charset val="238"/>
          </rPr>
          <t>======
ID#AAAAGaQ16Ro
Author    (2020-04-16 14:05:37)
porez na primanja
+
porez na dobit
+
porez na kapitalnu zaradu</t>
        </r>
      </text>
    </comment>
    <comment ref="A49" authorId="0" shapeId="0">
      <text>
        <r>
          <rPr>
            <sz val="11"/>
            <color theme="1"/>
            <rFont val="Arial"/>
            <family val="2"/>
            <charset val="238"/>
          </rPr>
          <t>======
ID#AAAAGaQ16S4
Author    (2020-04-16 14:05:37)
Brojevi za 2019. su "procijenjeni" tako da su uzeti kvartalni podaci za prva 3 kvartala 2019. i zadnji kvartal 2018.</t>
        </r>
      </text>
    </comment>
    <comment ref="D50" authorId="0" shapeId="0">
      <text>
        <r>
          <rPr>
            <sz val="11"/>
            <color theme="1"/>
            <rFont val="Arial"/>
            <family val="2"/>
            <charset val="238"/>
          </rPr>
          <t>======
ID#AAAAGaQ16SE
Author    (2020-04-16 14:05:37)
Omjer ove porezne stavke i BDV-a se kretao između 24% i 20% (u kriznim periodima), trenutno je fiksirano na 21% jer je u proteklim godinama opažen uzlazni trend</t>
        </r>
      </text>
    </comment>
    <comment ref="E50" authorId="0" shapeId="0">
      <text>
        <r>
          <rPr>
            <sz val="11"/>
            <color theme="1"/>
            <rFont val="Arial"/>
            <family val="2"/>
            <charset val="238"/>
          </rPr>
          <t>======
ID#AAAAGaQ16SU
Author    (2020-04-16 14:05:37)
Omjer doprinosa i godišnje mase plaća fiksiran je na 9%, višegodišnji prosjek je na 9,1%</t>
        </r>
      </text>
    </comment>
    <comment ref="F50" authorId="0" shapeId="0">
      <text>
        <r>
          <rPr>
            <sz val="11"/>
            <color theme="1"/>
            <rFont val="Arial"/>
            <family val="2"/>
            <charset val="238"/>
          </rPr>
          <t>======
ID#AAAAGaQ16Sg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50" authorId="0" shapeId="0">
      <text>
        <r>
          <rPr>
            <sz val="11"/>
            <color theme="1"/>
            <rFont val="Arial"/>
            <family val="2"/>
            <charset val="238"/>
          </rPr>
          <t>======
ID#AAAAGaQ16Sc
Author    (2020-04-16 14:05:37)
Omjer doprinosa i godišnje mase plaća fiksiran je na 29%, iako je prosjek bliže 30%, no u zadnjih nekoliko godina je opažen trend pada</t>
        </r>
      </text>
    </comment>
    <comment ref="C56" authorId="0" shapeId="0">
      <text>
        <r>
          <rPr>
            <sz val="11"/>
            <color theme="1"/>
            <rFont val="Arial"/>
            <family val="2"/>
            <charset val="238"/>
          </rPr>
          <t>======
ID#AAAAGaQ16TA
Author    (2020-04-16 14:05:37)
porez na imovinu
+
porez na korištenje fiksne imovine
+
poslovne licence
+
porez na onečišćenje
+
ostali</t>
        </r>
      </text>
    </comment>
    <comment ref="E56" authorId="0" shapeId="0">
      <text>
        <r>
          <rPr>
            <sz val="11"/>
            <color theme="1"/>
            <rFont val="Arial"/>
            <family val="2"/>
            <charset val="238"/>
          </rPr>
          <t>======
ID#AAAAGaQ16Rs
Author    (2020-04-16 14:05:37)
porez na primanja
+
porez na dobit
+
porez na kapitalnu zaradu</t>
        </r>
      </text>
    </comment>
    <comment ref="A75" authorId="0" shapeId="0">
      <text>
        <r>
          <rPr>
            <sz val="11"/>
            <color theme="1"/>
            <rFont val="Arial"/>
            <family val="2"/>
            <charset val="238"/>
          </rPr>
          <t>======
ID#AAAAGaQ16S0
Author    (2020-04-16 14:05:37)
Brojevi za 2019. su "procijenjeni" tako da su uzeti kvartalni podaci za prva 3 kvartala 2019. i zadnji kvartal 2018.</t>
        </r>
      </text>
    </comment>
    <comment ref="D76" authorId="0" shapeId="0">
      <text>
        <r>
          <rPr>
            <sz val="11"/>
            <color theme="1"/>
            <rFont val="Arial"/>
            <family val="2"/>
            <charset val="238"/>
          </rPr>
          <t>======
ID#AAAAGaQ16TE
Author    (2020-04-16 14:05:37)
Omjer ove porezne stavke i BDV-a se kretao između 24% i 20% (u kriznim periodima), trenutno je fiksirano na 21% jer je u proteklim godinama opažen uzlazni trend</t>
        </r>
      </text>
    </comment>
    <comment ref="E76" authorId="0" shapeId="0">
      <text>
        <r>
          <rPr>
            <sz val="11"/>
            <color theme="1"/>
            <rFont val="Arial"/>
            <family val="2"/>
            <charset val="238"/>
          </rPr>
          <t>======
ID#AAAAGaQ16SA
Author    (2020-04-16 14:05:37)
Omjer doprinosa i godišnje mase plaća fiksiran je na 9%, višegodišnji prosjek je na 9,1%</t>
        </r>
      </text>
    </comment>
    <comment ref="F76" authorId="0" shapeId="0">
      <text>
        <r>
          <rPr>
            <sz val="11"/>
            <color theme="1"/>
            <rFont val="Arial"/>
            <family val="2"/>
            <charset val="238"/>
          </rPr>
          <t>======
ID#AAAAGaQ16R0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76" authorId="0" shapeId="0">
      <text>
        <r>
          <rPr>
            <sz val="11"/>
            <color theme="1"/>
            <rFont val="Arial"/>
            <family val="2"/>
            <charset val="238"/>
          </rPr>
          <t>======
ID#AAAAGaQ16R4
Author    (2020-04-16 14:05:37)
Omjer doprinosa i godišnje mase plaća fiksiran je na 29%, iako je prosjek bliže 30%, no u zadnjih nekoliko godina je opažen trend pada</t>
        </r>
      </text>
    </comment>
    <comment ref="E94" authorId="0" shapeId="0">
      <text>
        <r>
          <rPr>
            <sz val="11"/>
            <color theme="1"/>
            <rFont val="Arial"/>
            <family val="2"/>
            <charset val="238"/>
          </rPr>
          <t>======
ID#AAAAGaQ16Sw
Author    (2020-04-16 14:05:37)
nemamo podatke o podstavkama na kvartalnoj razini, tako da ćemo svaku od stavki dignuti za 6% koliko je ukupni income tax rastao</t>
        </r>
      </text>
    </comment>
    <comment ref="I115" authorId="0" shapeId="0">
      <text>
        <r>
          <rPr>
            <sz val="11"/>
            <color theme="1"/>
            <rFont val="Arial"/>
            <family val="2"/>
            <charset val="238"/>
          </rPr>
          <t>======
ID#AAAAGaQ16Ss
Author    (2020-04-16 14:05:37)
Brojevi za 2019. su "procijenjeni" tako da su uzeti kvartalni podaci za prva 3 kvartala 2019. i zadnji kvartal 2018.
------
ID#AAAAGcUQzKk
Andrijana Kulisic    (2020-04-23 14:05:05)
update-an podatak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FcRPjyK0jwpWY/TI3CH5kNammA=="/>
    </ext>
  </extLst>
</comments>
</file>

<file path=xl/comments6.xml><?xml version="1.0" encoding="utf-8"?>
<comments xmlns="http://schemas.openxmlformats.org/spreadsheetml/2006/main">
  <authors>
    <author>bambas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Međunarodne pričuve iz platne bilance (prosjek zadnja 4 kvartala)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Tekući račun (prosjek zadnja 4 kvartala)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Platna bilanca bez međunarodnih pričuva (prosjek zadnja 4 kvartala)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eur/hrk tečaj (prosjek zadnja 4 kvartala)</t>
        </r>
      </text>
    </comment>
  </commentList>
</comments>
</file>

<file path=xl/sharedStrings.xml><?xml version="1.0" encoding="utf-8"?>
<sst xmlns="http://schemas.openxmlformats.org/spreadsheetml/2006/main" count="2769" uniqueCount="1027">
  <si>
    <t>OLS 1998-2019</t>
  </si>
  <si>
    <t>Dragica modeli</t>
  </si>
  <si>
    <t>primjer na scenariju 1</t>
  </si>
  <si>
    <t>Model izbora:</t>
  </si>
  <si>
    <t>unemp_q2</t>
  </si>
  <si>
    <t>Scenarij 1</t>
  </si>
  <si>
    <t>Scenarij 2</t>
  </si>
  <si>
    <t>Scenarij 3</t>
  </si>
  <si>
    <t>Odabran je q2 model</t>
  </si>
  <si>
    <t>datum</t>
  </si>
  <si>
    <t>bdp</t>
  </si>
  <si>
    <t>dbdp_r</t>
  </si>
  <si>
    <t>unemp</t>
  </si>
  <si>
    <t>dunemp</t>
  </si>
  <si>
    <t>mdl_unemp</t>
  </si>
  <si>
    <t>unemp_q1</t>
  </si>
  <si>
    <t>unemp_q3</t>
  </si>
  <si>
    <t>OLS '98-'19</t>
  </si>
  <si>
    <t>Prosjek</t>
  </si>
  <si>
    <t>OLS '00-'19</t>
  </si>
  <si>
    <t>OLS '08-'19</t>
  </si>
  <si>
    <t>dbdp_r - desno</t>
  </si>
  <si>
    <t>S1</t>
  </si>
  <si>
    <t>razina1</t>
  </si>
  <si>
    <t>S2</t>
  </si>
  <si>
    <t>razina2</t>
  </si>
  <si>
    <t>razina3</t>
  </si>
  <si>
    <t>razina4</t>
  </si>
  <si>
    <t>iznos</t>
  </si>
  <si>
    <t>ponder</t>
  </si>
  <si>
    <t>umanjenje</t>
  </si>
  <si>
    <t>S3</t>
  </si>
  <si>
    <t>dwage</t>
  </si>
  <si>
    <t>infl</t>
  </si>
  <si>
    <t>dprod</t>
  </si>
  <si>
    <t>Broj zaposlenih</t>
  </si>
  <si>
    <t>1995.</t>
  </si>
  <si>
    <t>Nominalni BDP</t>
  </si>
  <si>
    <t>Produktivnost</t>
  </si>
  <si>
    <t>1996.</t>
  </si>
  <si>
    <t>1997.</t>
  </si>
  <si>
    <t>1998.</t>
  </si>
  <si>
    <t>1999.</t>
  </si>
  <si>
    <t>2000.</t>
  </si>
  <si>
    <t>2001.</t>
  </si>
  <si>
    <t>2002.</t>
  </si>
  <si>
    <t>2003.</t>
  </si>
  <si>
    <t>Aktivno stanovništvo</t>
  </si>
  <si>
    <t>2004.</t>
  </si>
  <si>
    <t>2005.</t>
  </si>
  <si>
    <t>2006.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</si>
  <si>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</si>
  <si>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</si>
  <si>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</si>
  <si>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</si>
  <si>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</si>
  <si>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</si>
  <si>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</si>
  <si>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</si>
  <si>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</si>
  <si>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2016.</t>
  </si>
  <si>
    <t>2017.</t>
  </si>
  <si>
    <t>Ponder umanjenja</t>
  </si>
  <si>
    <t>Efektivna porezna stopa %</t>
  </si>
  <si>
    <t>B. RUDARSTVO I VAĐENJE</t>
  </si>
  <si>
    <t>6. Vađenje sirove nafte i prirodnog plina</t>
  </si>
  <si>
    <t>6.2. Vađenje prirodnog plina</t>
  </si>
  <si>
    <t>A</t>
  </si>
  <si>
    <t>Poljoprivreda, šumarstvo i ribarstvo</t>
  </si>
  <si>
    <t>Broj zaposlenih (u 000)</t>
  </si>
  <si>
    <t>7. Vađenje metalnih ruda</t>
  </si>
  <si>
    <t>8.1. Vađenje kamena, pijeska i gline</t>
  </si>
  <si>
    <t>8.11. Vađenje ukrasnoga kamena i kamena za gradnju, vapnenca, gipsa, krede i škriljevca</t>
  </si>
  <si>
    <t>B</t>
  </si>
  <si>
    <t>Rudarstvo i vađenje</t>
  </si>
  <si>
    <t>NKD 2007</t>
  </si>
  <si>
    <t>Ukupno</t>
  </si>
  <si>
    <t>8.12. Djelatnosti šljunčara i pješčara; vađenje gline i kaolina</t>
  </si>
  <si>
    <t>C</t>
  </si>
  <si>
    <t>Proizvodnja prehrambenih proizvoda</t>
  </si>
  <si>
    <t>8.9. Rudarstvo i vađenje, d. n.</t>
  </si>
  <si>
    <t>8.93. Vađenje soli</t>
  </si>
  <si>
    <t>Proizvodnja pića</t>
  </si>
  <si>
    <t>8.99. Vađenje ostalih ruda i kamena, d. n.</t>
  </si>
  <si>
    <t>Proizvodnja duhanskih proizvoda</t>
  </si>
  <si>
    <t>Prerađivačka industrija</t>
  </si>
  <si>
    <t>9. Pomoćne uslužne djelatnosti u rudarstvu</t>
  </si>
  <si>
    <t>9.1. Pomoćne djelatnosti za vađenje nafte i prirodnog plina</t>
  </si>
  <si>
    <t>Proizvodnja tekstila</t>
  </si>
  <si>
    <t>D</t>
  </si>
  <si>
    <t>Opskrba električnom energijom, plinom, parom i klimatizacija</t>
  </si>
  <si>
    <t>9.9. Pomoćne djelatnosti za ostalo rudarstvo i vađenje</t>
  </si>
  <si>
    <t>Proizvodnja odjeće</t>
  </si>
  <si>
    <t>E</t>
  </si>
  <si>
    <t>Opskrba vodom; uklanjanje otpadnih voda,  gospodarenje otpadom te djelatnosti sanacije i okoliša</t>
  </si>
  <si>
    <t>C. PRERAĐIVAČKA INDUSTRIJA</t>
  </si>
  <si>
    <t>10. Proizvodnja prehrambenih proizvoda</t>
  </si>
  <si>
    <t>10.1. Prerada i konzerviranje mesa i proizvodnja mesnih proizvoda</t>
  </si>
  <si>
    <t>10.11. Prerada i konzerviranje mesa</t>
  </si>
  <si>
    <t>Proizvodnja kože i srodnih proizvoda</t>
  </si>
  <si>
    <t>Opskrba vodom; uklanjanje otpadnih voda, gospodarenje otpadom te djelatnosti sanacije okoliša</t>
  </si>
  <si>
    <t>F</t>
  </si>
  <si>
    <t>Građevinarstvo</t>
  </si>
  <si>
    <t>10.12. Prerada i konzerviranje mesa peradi</t>
  </si>
  <si>
    <t>Prerada drva i proizvoda od drva i pluta, osim namještaja; proizvodnja proizvoda od slame i pletarskih materijala</t>
  </si>
  <si>
    <t>G</t>
  </si>
  <si>
    <t>Trgovina na veliko i malo; popravak motornih vozila i motocikala</t>
  </si>
  <si>
    <t>10.13. Proizvodnja proizvoda od mesa i mesa peradi</t>
  </si>
  <si>
    <t>Proizvodnja papira i proizvoda od
papira</t>
  </si>
  <si>
    <t>H</t>
  </si>
  <si>
    <t>Prijevoz i skladištenje</t>
  </si>
  <si>
    <t>Trgovina na veliko i na malo; popravak motornih vozila i motocikala</t>
  </si>
  <si>
    <t>10.2. Prerada i konzerviranje riba, rakova i školjki</t>
  </si>
  <si>
    <t>Tiskanje i umnožavanje snimljenih zapisa</t>
  </si>
  <si>
    <t>I</t>
  </si>
  <si>
    <t>Djelatnosti pružanja smještaja te pripreme i usluživanja hrane</t>
  </si>
  <si>
    <t>10.3. Prerada i konzerviranje voća i povrća</t>
  </si>
  <si>
    <t>10.39. Ostala prerada i konzerviranje voća i povrća</t>
  </si>
  <si>
    <t>Proizvodnja koksa i rafiniranih naftnih proizvoda</t>
  </si>
  <si>
    <t>J</t>
  </si>
  <si>
    <t>Informacije i komunikacije</t>
  </si>
  <si>
    <t>10.41. Proizvodnja ulja i masti</t>
  </si>
  <si>
    <t>Proizvodnja kemikalija i kemijskih proizvoda</t>
  </si>
  <si>
    <t>K</t>
  </si>
  <si>
    <t>Financijske djelatnosti i djelatnosti osiguranja</t>
  </si>
  <si>
    <t>10.7. Proizvodnja pekarskih i brašneno-konditorskih proizvoda</t>
  </si>
  <si>
    <t>10.71. Proizvodnja kruha; proizvodnja svježih peciva, slastičarskih proizvoda i kolača</t>
  </si>
  <si>
    <t>Proizvodnja osnovnih farmaceutskih proizvoda i farmaceutskih pripravaka</t>
  </si>
  <si>
    <t>L</t>
  </si>
  <si>
    <t>Poslovanje nekretninama</t>
  </si>
  <si>
    <t>10.72. Proizvodnja dvopeka, keksa i srodnih proizvoda; proizvodnja trajnih peciva, slastičarskih proizvoda i kolača</t>
  </si>
  <si>
    <t>Proizvodnja proizvoda od gume i plastike</t>
  </si>
  <si>
    <t>M</t>
  </si>
  <si>
    <t>Stručne, znanstvene i tehničke djelatnosti</t>
  </si>
  <si>
    <t>10.73. Proizvodnja makarona, njoka, kuskusa i slične tjestenine</t>
  </si>
  <si>
    <t>Proizvodnja ostalih nemetalnih mineralnih proizvoda</t>
  </si>
  <si>
    <t>N</t>
  </si>
  <si>
    <t>Administrativne i pomoćne uslužne djelatnosti</t>
  </si>
  <si>
    <t>10.8. Proizvodnja ostalih prehrambenih proizvoda</t>
  </si>
  <si>
    <t>10.81. Proizvodnja šećera</t>
  </si>
  <si>
    <t>Proizvodnja metala</t>
  </si>
  <si>
    <t>O</t>
  </si>
  <si>
    <t>Javna uprava i obrana; obvezno socijalno osiguranje</t>
  </si>
  <si>
    <t>10.82. Proizvodnja kakao, čokoladnih i bombonskih proizvoda</t>
  </si>
  <si>
    <t>Proizvodnja gotovih metalnih proizvoda, osim strojeva i opreme</t>
  </si>
  <si>
    <t>P</t>
  </si>
  <si>
    <t>Obrazovanje</t>
  </si>
  <si>
    <t>10.83. Prerada čaja i kave</t>
  </si>
  <si>
    <t>Proizvodnja računala te elektroničkih i optičkih proizvoda</t>
  </si>
  <si>
    <t>Q</t>
  </si>
  <si>
    <t>Djelatnosti zdravstvene zaštite i socijalne skrbi</t>
  </si>
  <si>
    <t>10.85. Proizvodnja gotove hrane i jela</t>
  </si>
  <si>
    <t>Proizvodnja električne opreme</t>
  </si>
  <si>
    <t>R</t>
  </si>
  <si>
    <t>Umjetnost, zabava i rekreacija</t>
  </si>
  <si>
    <t>10.89. Proizvodnja ostalih prehrambenih proizvoda, d. n.</t>
  </si>
  <si>
    <t>Proizvodnja strojeva i uređaja, d. n.</t>
  </si>
  <si>
    <t>S</t>
  </si>
  <si>
    <t>Ostale uslužne djelatnosti</t>
  </si>
  <si>
    <t>10.9. Proizvodnja pripremljene hrane za životinje</t>
  </si>
  <si>
    <t>10.91. Proizvodnja pripremljene stočne hrane</t>
  </si>
  <si>
    <t>Proizvodnja motornih vozila,
prikolica i poluprikolica</t>
  </si>
  <si>
    <t>T</t>
  </si>
  <si>
    <t>Djelatnosti kućanstava kao poslodavaca; djelatnosti kućanstava koja proizvode različitu robu i obavljaju različite usluge za vlastite potrebe</t>
  </si>
  <si>
    <t>10.92. Proizvodnja pripremljene hrane za kućne ljubimce</t>
  </si>
  <si>
    <t>Proizvodnja ostalih prijevoznih
sredstava</t>
  </si>
  <si>
    <t xml:space="preserve"> BRUTO DODANA VRIJEDNOST (BAZIČNE CIJENE)</t>
  </si>
  <si>
    <t>11. Proizvodnja pića</t>
  </si>
  <si>
    <t>11.02. Proizvodnja vina od grožđa</t>
  </si>
  <si>
    <t>Proizvodnja namještaja</t>
  </si>
  <si>
    <t>11.03. Proizvodnja jabukovače i ostalih voćnih vina</t>
  </si>
  <si>
    <t>Ostala prerađivačka industrija</t>
  </si>
  <si>
    <t>U</t>
  </si>
  <si>
    <t>11.05. Proizvodnja piva</t>
  </si>
  <si>
    <t>Popravak i instaliranje strojeva
i opreme</t>
  </si>
  <si>
    <t>Kvartalne stope rasta (yoy)</t>
  </si>
  <si>
    <t>11.07. Proizvodnja osvježavajućih napitaka; proizvodnja mineralne i drugih flaširanih voda</t>
  </si>
  <si>
    <t>BDV</t>
  </si>
  <si>
    <t>Porez</t>
  </si>
  <si>
    <t>BDP</t>
  </si>
  <si>
    <t>13. Proizvodnja tekstila</t>
  </si>
  <si>
    <t>13.1. Priprema i predenje tekstilnih vlakana</t>
  </si>
  <si>
    <t>Opskrba vodom; uklanjanje otpadnih
voda, gospodarenje otpadom te djelatnosti sanacije okoliša</t>
  </si>
  <si>
    <t>Model</t>
  </si>
  <si>
    <t>13.2. Tkanje tekstila</t>
  </si>
  <si>
    <t>Estimate</t>
  </si>
  <si>
    <t>Std. Error</t>
  </si>
  <si>
    <t>t value</t>
  </si>
  <si>
    <t>Pr(&gt;|t|)</t>
  </si>
  <si>
    <t>Administrativni izvori</t>
  </si>
  <si>
    <t>13.3. Dovršavanje tekstila</t>
  </si>
  <si>
    <t>Trgovina na veliko i na malo; popravak motornih vozila i motocikla</t>
  </si>
  <si>
    <t>(Intercept)</t>
  </si>
  <si>
    <t>Coefficients:</t>
  </si>
  <si>
    <t>***</t>
  </si>
  <si>
    <t>13.9. Proizvodnja ostalog tekstila</t>
  </si>
  <si>
    <t>13.91. Proizvodnja pletenih i kukičanih tkanina</t>
  </si>
  <si>
    <t xml:space="preserve">A </t>
  </si>
  <si>
    <t>13.92. Proizvodnja gotovih tekstilnih proizvoda, osim odjeće</t>
  </si>
  <si>
    <t>13.93. Proizvodnja tepiha i sagova</t>
  </si>
  <si>
    <t>13.94. Proizvodnja užadi, konopaca, upletenoga konca i mreža</t>
  </si>
  <si>
    <t>13.95. Proizvodnja netkanog tekstila i proizvoda od netkanog tekstila, osim odjeće</t>
  </si>
  <si>
    <t>13.96. Proizvodnja ostaloga tehničkog i industrijskog tekstila</t>
  </si>
  <si>
    <t>13.99. Proizvodnja ostalog tekstila, d. n.</t>
  </si>
  <si>
    <t>Administrativne i pomoćne uslužne
djelatnosti</t>
  </si>
  <si>
    <t>14. Proizvodnja odjeće</t>
  </si>
  <si>
    <t>14.1. Proizvodnja odjeće, osim krznene odjeće</t>
  </si>
  <si>
    <t>14.11. Proizvodnja kožne odjeće</t>
  </si>
  <si>
    <t>Javna uprava i obrana; obvezno
socijalno osiguranje</t>
  </si>
  <si>
    <t>14.12. Proizvodnja radne odjeće</t>
  </si>
  <si>
    <t>14.13. Proizvodnja ostale vanjske odjeće</t>
  </si>
  <si>
    <t>Djelatnosti zdravstvene zaštite i
socijalne skrbi</t>
  </si>
  <si>
    <t>14.14. Proizvodnja rublja</t>
  </si>
  <si>
    <t>14.19. Proizvodnja ostale odjeće i pribora za odjeću</t>
  </si>
  <si>
    <t>14.2. Proizvodnja proizvoda od krzna</t>
  </si>
  <si>
    <t>Djelatnosti kućanstava kao poslodavaca; djelatnosti kućanstava koje proizvode različitu robu i pružaju različite usluge za vlastite potrebe</t>
  </si>
  <si>
    <t>14.3. Proizvodnja pletene i kukičane odjeće</t>
  </si>
  <si>
    <t>14.31. Proizvodnja pletenih i kukičanih čarapa</t>
  </si>
  <si>
    <t>Djelatnosti izvanteritorijalnih
organizacija i tijela</t>
  </si>
  <si>
    <t>-</t>
  </si>
  <si>
    <t>14.39. Proizvodnja ostale pletene i kukičane odjeće</t>
  </si>
  <si>
    <t>Bruto dodana vrijednost
(bazične cijene)</t>
  </si>
  <si>
    <t>15. Proizvodnja kože i srodnih proizvoda</t>
  </si>
  <si>
    <t>15.1. Štavljenje i obrada kože; proizvodnja putnih i ručnih torba, sedlarskih i remenarskih proizvoda; dorada i bojenje krzna</t>
  </si>
  <si>
    <t>15.11. Štavljenje i obrada kože; dorada i bojenje krzna</t>
  </si>
  <si>
    <t>Porezi na proizvode minus subvencije
na proizvode</t>
  </si>
  <si>
    <t>15.12. Proizvodnja putnih i ručnih torba i slično, sedlarskih i remenarskih proizvoda</t>
  </si>
  <si>
    <t>Bruto domaći proizvod (tržišne cijene)</t>
  </si>
  <si>
    <t>15.2. Proizvodnja obuće</t>
  </si>
  <si>
    <t>16. Prerada drva i proizvoda od drva i pluta, osim namještaja; proizvodnja proizvoda od slame i pletarskih materijala</t>
  </si>
  <si>
    <t>16.1. Piljenje i blanjanje drva</t>
  </si>
  <si>
    <t>16.2. Proizvodnja proizvoda od drva, pluta, slame i pletarskih materijala</t>
  </si>
  <si>
    <t>16.21. Proizvodnja furnira i ostalih ploča od drva</t>
  </si>
  <si>
    <t>16.22. Proizvodnja sastavljenog parketa</t>
  </si>
  <si>
    <t>Porezni prihodi</t>
  </si>
  <si>
    <t>16.23. Proizvodnja ostale građevne stolarije i elemenata</t>
  </si>
  <si>
    <t>Ostali prihodi</t>
  </si>
  <si>
    <t>Ukupno prihodi</t>
  </si>
  <si>
    <t>Rashodi</t>
  </si>
  <si>
    <t>16.24. Proizvodnja ambalaže od drva</t>
  </si>
  <si>
    <t>Ukupno rashodi</t>
  </si>
  <si>
    <t>Neto pozajmljivanje / zaduživanje</t>
  </si>
  <si>
    <t>Taxes on production and imports</t>
  </si>
  <si>
    <t>Current taxes on income, wealth, etc.</t>
  </si>
  <si>
    <t>Net social contributions</t>
  </si>
  <si>
    <t>Capital taxes</t>
  </si>
  <si>
    <t>16.29. Proizvodnja ostalih proizvoda od drva, proizvoda od pluta, slame i pletarskih materijala</t>
  </si>
  <si>
    <t>Capital transfers</t>
  </si>
  <si>
    <t>Other current transfers</t>
  </si>
  <si>
    <t>Property income</t>
  </si>
  <si>
    <t>Adj. for the change in pension entitlements</t>
  </si>
  <si>
    <t>Market output</t>
  </si>
  <si>
    <t>Other subsidies on production</t>
  </si>
  <si>
    <t>Taxes on products</t>
  </si>
  <si>
    <t>Other taxes on production</t>
  </si>
  <si>
    <t>17. Proizvodnja papira i proizvoda od papira</t>
  </si>
  <si>
    <t>17.2. Proizvodnja proizvoda od papira i kartona</t>
  </si>
  <si>
    <t>17.21. Proizvodnja valovitog papira i kartona te ambalaže od papira i kartona</t>
  </si>
  <si>
    <t>Taxes on income</t>
  </si>
  <si>
    <t>Other current taxes</t>
  </si>
  <si>
    <t>Employers' actual social contributions</t>
  </si>
  <si>
    <t>Households' actual social contributions</t>
  </si>
  <si>
    <t>Taxes on capital transfers</t>
  </si>
  <si>
    <t>Other capital transfers and investment grants</t>
  </si>
  <si>
    <t>Interest</t>
  </si>
  <si>
    <t>Other property income</t>
  </si>
  <si>
    <t>Market output, output for own final use and payments for non-market output</t>
  </si>
  <si>
    <t>17.22. Proizvodnja robe za kućanstvo i higijenu te toaletnih potrepština od papira</t>
  </si>
  <si>
    <t>Taxes on individual or household income</t>
  </si>
  <si>
    <t>Taxes on the income or profits of corporations</t>
  </si>
  <si>
    <t>Other income taxes</t>
  </si>
  <si>
    <t>Compensation of employees</t>
  </si>
  <si>
    <t>Gross capital formation</t>
  </si>
  <si>
    <t>Intermediate consumption</t>
  </si>
  <si>
    <t>Social benefits</t>
  </si>
  <si>
    <t>Subsidies</t>
  </si>
  <si>
    <t>u % BDP-a</t>
  </si>
  <si>
    <t>17.29. Proizvodnja ostalih proizvoda od papira i kartona</t>
  </si>
  <si>
    <r>
      <t>Zaposleni u obrtu i slobodnim profesijama</t>
    </r>
    <r>
      <rPr>
        <vertAlign val="superscript"/>
        <sz val="9"/>
        <color theme="1"/>
        <rFont val="Arial"/>
        <family val="2"/>
        <charset val="238"/>
      </rPr>
      <t>2)</t>
    </r>
  </si>
  <si>
    <t>18. Tiskanje i umnožavanje snimljenih zapisa</t>
  </si>
  <si>
    <t>18.1. Tiskanje i uslužne djelatnosti povezane s tiskanjem</t>
  </si>
  <si>
    <t>18.11. Tiskanje novina</t>
  </si>
  <si>
    <t>18.12. Ostalo tiskanje</t>
  </si>
  <si>
    <r>
      <t>Zaposleni osiguranici poljoprivrednici</t>
    </r>
    <r>
      <rPr>
        <vertAlign val="superscript"/>
        <sz val="9"/>
        <color theme="1"/>
        <rFont val="Arial"/>
        <family val="2"/>
        <charset val="238"/>
      </rPr>
      <t>2)</t>
    </r>
  </si>
  <si>
    <t>18.13. Usluge pripreme za tisak i objavljivanje</t>
  </si>
  <si>
    <t>18.14. Knjigoveške i srodne usluge</t>
  </si>
  <si>
    <t>18.2. Umnožavanje snimljenih zapisa</t>
  </si>
  <si>
    <t>Ukupno zaposleni</t>
  </si>
  <si>
    <t>20. Proizvodnja kemikalija i kemijskih proizvoda</t>
  </si>
  <si>
    <t>20.1. Proizvodnja osnovnih kemikalija, gnojiva i dušičnih spojeva, plastike i sintetičkoga kaučuka u primarnim oblicima</t>
  </si>
  <si>
    <t>20.11. Proizvodnja industrijskih plinova</t>
  </si>
  <si>
    <t>20.12. Proizvodnja koloranata i pigmenata</t>
  </si>
  <si>
    <t>20.13. Proizvodnja ostalih anorganskih osnovnih kemikalija</t>
  </si>
  <si>
    <t>20.14. Proizvodnja ostalih organskih osnovnih kemikalija</t>
  </si>
  <si>
    <t>20.3. Proizvodnja boja, lakova i sličnih premaza, grafičkih boja i kitova</t>
  </si>
  <si>
    <t>20.4. Proizvodnja sapuna i deterdženata, sredstava za čišćenje i poliranje, parfema i toaletno-kozmetičkih preparata</t>
  </si>
  <si>
    <t>20.41. Proizvodnja sapuna i deterdženata, sredstava za čišćenje i poliranje</t>
  </si>
  <si>
    <t>20.42. Proizvodnja parfema i toaletno-kozmetičkih preparata</t>
  </si>
  <si>
    <t>20.5. Proizvodnja ostalih kemijskih proizvoda</t>
  </si>
  <si>
    <t>20.52. Proizvodnja ljepila</t>
  </si>
  <si>
    <t>20.53. Proizvodnja eteričnih ulja</t>
  </si>
  <si>
    <t>20.59. Proizvodnja ostalih kemijskih proizvoda, d. n.</t>
  </si>
  <si>
    <t>21. Proizvodnja osnovnih farmaceutskih proizvoda i farmaceutskih pripravaka</t>
  </si>
  <si>
    <t>21.2. Proizvodnja farmaceutskih pripravaka</t>
  </si>
  <si>
    <t>22. Proizvodnja proizvoda od gume i plastike</t>
  </si>
  <si>
    <t>22.1. Proizvodnja proizvoda od gume</t>
  </si>
  <si>
    <t>22.11. Proizvodnja vanjskih i unutrašnjih guma za vozila; protektiranje vanjskih guma</t>
  </si>
  <si>
    <t>22.19. Proizvodnja ostalih proizvoda od gume</t>
  </si>
  <si>
    <t>22.2. Proizvodnja proizvoda od plastike</t>
  </si>
  <si>
    <t>22.21. Proizvodnja ploča, listova, cijevi i profila od plastike</t>
  </si>
  <si>
    <t>22.22. Proizvodnja ambalaže od plastike</t>
  </si>
  <si>
    <t>22.23. Proizvodnja proizvoda od plastike za građevinarstvo</t>
  </si>
  <si>
    <t>22.29. Proizvodnja ostalih proizvoda od plastike</t>
  </si>
  <si>
    <t>23. Proizvodnja ostalih nemetalnih mineralnih proizvoda</t>
  </si>
  <si>
    <t>23.1. Proizvodnja stakla i proizvoda od stakla</t>
  </si>
  <si>
    <t>23.12. Oblikovanje i obrada ravnog stakla</t>
  </si>
  <si>
    <t>Verzija Q1</t>
  </si>
  <si>
    <t>Verzija Q2</t>
  </si>
  <si>
    <t>Verzija Q3</t>
  </si>
  <si>
    <t>23.19. Proizvodnja i obrada ostalog stakla uključujući tehničku robu od stakla</t>
  </si>
  <si>
    <t>23.2. Proizvodnja vatrostalnih proizvoda</t>
  </si>
  <si>
    <t>23.4. Proizvodnja ostalih proizvoda od porculana i keramike</t>
  </si>
  <si>
    <t>23.41. Proizvodnja keramičkih proizvoda za kućanstvo i ukrasnih predmeta</t>
  </si>
  <si>
    <t>23.49. Proizvodnja ostalih proizvoda od keramike</t>
  </si>
  <si>
    <t>23.5. Proizvodnja cementa, vapna i gipsa</t>
  </si>
  <si>
    <t>23.51. Proizvodnja cementa</t>
  </si>
  <si>
    <t>23.52. Proizvodnja vapna i gipsa</t>
  </si>
  <si>
    <t>23.6. Proizvodnja proizvoda od betona, cementa i gipsa</t>
  </si>
  <si>
    <t>23.61. Proizvodnja proizvoda od betona za građevinarstvo</t>
  </si>
  <si>
    <t>Ostali prihodi su trenutno fiksirani, no trebati će procijeniti kapitalne transfere koje će HR povući od MMF-a i EU.</t>
  </si>
  <si>
    <t>Gross capital formation, Other current transfers, Property income i subsidies su ostali fiksirani na podatke od 2019.</t>
  </si>
  <si>
    <t>23.62. Proizvodnja proizvoda od gipsa za građevinarstvo</t>
  </si>
  <si>
    <t>23.63. Proizvodnja gotove betonske smjese</t>
  </si>
  <si>
    <t>23.64. Proizvodnja žbuke</t>
  </si>
  <si>
    <t>23.69. Proizvodnja ostalih proizvoda od betona, cementa i gipsa</t>
  </si>
  <si>
    <t>23.7. Rezanje, oblikovanje i obrada kamena</t>
  </si>
  <si>
    <t>23.9. Proizvodnja brusnih proizvoda i nemetalnih mineralnih proizvoda, d. n.</t>
  </si>
  <si>
    <t>23.91. Proizvodnja brusnih proizvoda</t>
  </si>
  <si>
    <t>23.99. Proizvodnja ostalih nemetalnih mineralnih proizvoda, d. n.</t>
  </si>
  <si>
    <t>24. Proizvodnja metala</t>
  </si>
  <si>
    <t>24.1. Proizvodnja sirovog željeza, čelika i ferolegura</t>
  </si>
  <si>
    <t>24.2. Proizvodnja čeličnih cijevi i pribora</t>
  </si>
  <si>
    <t>24.3. Proizvodnja ostalih proizvoda primarne prerade čelika</t>
  </si>
  <si>
    <t>24.33. Hladno oblikovanje i profiliranje</t>
  </si>
  <si>
    <t>24.4. Proizvodnja plemenitih i ostalih obojenih metala</t>
  </si>
  <si>
    <t>24.42. Proizvodnja aluminija</t>
  </si>
  <si>
    <t>24.5. Lijevanje metala</t>
  </si>
  <si>
    <t>24.51. Lijevanje željeza</t>
  </si>
  <si>
    <t>24.53. Lijevanje lakih metala</t>
  </si>
  <si>
    <t>25. Proizvodnja gotovih metalnih proizvoda, osim strojeva i opreme</t>
  </si>
  <si>
    <t>25.1. Proizvodnja metalnih konstrukcija</t>
  </si>
  <si>
    <t>25.11. Proizvodnja metalnih konstrukcija i njihovih dijelova</t>
  </si>
  <si>
    <t>25.12. Proizvodnja vrata i prozora od metala</t>
  </si>
  <si>
    <t>25.2. Proizvodnja metalnih cisterni, rezervoara i sličnih posuda</t>
  </si>
  <si>
    <t>25.21. Proizvodnja radijatora i kotlova za centralno grijanje</t>
  </si>
  <si>
    <t>25.29. Proizvodnja ostalih metalnih cisterni, rezervoara i sličnih posuda</t>
  </si>
  <si>
    <t>25.3. Proizvodnja parnih kotlova, osim kotlova za centralno grijanje toplom vodom</t>
  </si>
  <si>
    <t>25.6. Obrada i prevlačenje metala; strojna obrada metala</t>
  </si>
  <si>
    <t>25.61. Obrada i prevlačenje metala</t>
  </si>
  <si>
    <t>25.62. Strojna obrada metala</t>
  </si>
  <si>
    <t>25.7. Proizvodnja sječiva, alata i opće željezne robe</t>
  </si>
  <si>
    <t>25.71. Proizvodnja sječiva</t>
  </si>
  <si>
    <t>25.72. Proizvodnja brava i okova</t>
  </si>
  <si>
    <t>25.73. Proizvodnja alata</t>
  </si>
  <si>
    <t>25.9. Proizvodnja ostalih gotovih proizvoda od metala</t>
  </si>
  <si>
    <t>25.91. Proizvodnja čeličnih bačava i sličnih posuda</t>
  </si>
  <si>
    <t>25.92. Proizvodnja ambalaže od lakih metala</t>
  </si>
  <si>
    <t>25.93. Proizvodnja proizvoda od žice, lanaca i opruga</t>
  </si>
  <si>
    <t>25.94. Proizvodnja zakovica i vijčane robe</t>
  </si>
  <si>
    <t>25.99. Proizvodnja ostalih gotovih proizvoda od metala, d. n.</t>
  </si>
  <si>
    <t>26. Proizvodnja računala te elektroničkih i optičkih proizvoda</t>
  </si>
  <si>
    <t>26.1. Proizvodnja elektroničkih komponenata i ploča</t>
  </si>
  <si>
    <t>26.11. Proizvodnja elektroničkih komponenata</t>
  </si>
  <si>
    <t>26.12. Proizvodnja punih elektroničkih ploča</t>
  </si>
  <si>
    <t>26.2. Proizvodnja računala i periferne opreme</t>
  </si>
  <si>
    <t>26.5. Proizvodnja instrumenata i aparata za mjerenje, ispitivanje i navigaciju; proizvodnja satova</t>
  </si>
  <si>
    <t>26.51. Proizvodnja instrumenata i aparata za mjerenje,  ispitivanje i navigaciju</t>
  </si>
  <si>
    <t>26.52. Proizvodnja satova</t>
  </si>
  <si>
    <t>26.6. Proizvodnja opreme za zračenje, elektromedicinske i elektroterapeutske opreme</t>
  </si>
  <si>
    <t>27. Proizvodnja električne opreme</t>
  </si>
  <si>
    <t>27.1. Proizvodnja elektromotora, generatora, transformatora te uređaja za distribuciju i kontrolu električne energije</t>
  </si>
  <si>
    <t>27.11. Proizvodnja elektromotora, generatora i transformatora</t>
  </si>
  <si>
    <t>27.12. Proizvodnja uređaja za distribuciju i kontrolu električne energije</t>
  </si>
  <si>
    <t>27.2. Proizvodnja baterija i akumulatora</t>
  </si>
  <si>
    <t>27.3. Proizvodnja žice i elektroinstalacijskog materijala</t>
  </si>
  <si>
    <t>27.32. Proizvodnja ostalih elektroničkih i električnih žica i kablova</t>
  </si>
  <si>
    <t>27.33. Proizvodnja elektroinstalacijskog materijala</t>
  </si>
  <si>
    <t>27.4. Proizvodnja električne opreme za rasvjetu</t>
  </si>
  <si>
    <t>27.5. Proizvodnja aparata za kućanstvo</t>
  </si>
  <si>
    <t>27.51. Proizvodnja električnih aparata za kućanstvo</t>
  </si>
  <si>
    <t>27.52. Proizvodnja neelektričnih aparata za kućanstvo</t>
  </si>
  <si>
    <t>27.9. Proizvodnja ostale električne opreme</t>
  </si>
  <si>
    <t>28. Proizvodnja strojeva i uređaja, d. n.</t>
  </si>
  <si>
    <t>28.1. Proizvodnja strojeva za opće namjene</t>
  </si>
  <si>
    <t>28.11. Proizvodnja motora i turbina, osim motora za zrakoplove i motorna vozila</t>
  </si>
  <si>
    <t>28.12. Proizvodnja hidrauličnih pogonskih uređaja</t>
  </si>
  <si>
    <t>28.13. Proizvodnja ostalih crpki i kompresora</t>
  </si>
  <si>
    <t>28.14. Proizvodnja ostalih slavina i ventila</t>
  </si>
  <si>
    <t>28.15. Proizvodnja ležajeva, prijenosnika te prijenosnih i pogonskih elemenata</t>
  </si>
  <si>
    <t>28.2. Proizvodnja ostalih strojeva za opće namjene</t>
  </si>
  <si>
    <t>28.21. Proizvodnja peći i plamenika</t>
  </si>
  <si>
    <t>28.22. Proizvodnja uređaja za dizanje i prenošenje</t>
  </si>
  <si>
    <t>28.23. Proizvodnja uredskih strojeva i opreme (osim proizvodnje računala i periferne opreme)</t>
  </si>
  <si>
    <t>28.24. Proizvodnja mehaniziranoga ručnog alata</t>
  </si>
  <si>
    <t>28.25. Proizvodnja rashladne i ventilacijske opreme, osim za kućanstvo</t>
  </si>
  <si>
    <t>28.29. Proizvodnja ostalih strojeva za opće namjene, d. n.</t>
  </si>
  <si>
    <t>28.3. Proizvodnja strojeva za poljoprivredu i šumarstvo</t>
  </si>
  <si>
    <t>28.4. Proizvodnja strojeva za obradu metala i alatnih strojeva</t>
  </si>
  <si>
    <t>28.41. Proizvodnja strojeva za obradu metala</t>
  </si>
  <si>
    <t>28.49. Proizvodnja ostalih alatnih strojeva</t>
  </si>
  <si>
    <t>28.9. Proizvodnja ostalih strojeva za posebne namjene</t>
  </si>
  <si>
    <t>28.91. Proizvodnja strojeva za metalurgiju</t>
  </si>
  <si>
    <t>28.92. Proizvodnja strojeva za rudnike, kamenolome i građevinarstvo</t>
  </si>
  <si>
    <t>28.93. Proizvodnja strojeva za industriju hrane, pića i duhana</t>
  </si>
  <si>
    <t>28.99. Proizvodnja ostalih strojeva za posebne namjene, d. n.</t>
  </si>
  <si>
    <t>29. Proizvodnja motornih vozila, prikolica i poluprikolica</t>
  </si>
  <si>
    <t>29.1. Proizvodnja motornih vozila</t>
  </si>
  <si>
    <t>29.2. Proizvodnja karoserija za motorna vozila, prikolica i poluprikolica</t>
  </si>
  <si>
    <t>29.3. Proizvodnja dijelova i pribora za motorna vozila</t>
  </si>
  <si>
    <t>29.31. Proizvodnja električne i elektroničke opreme za motorna vozila</t>
  </si>
  <si>
    <t>Credit</t>
  </si>
  <si>
    <t>Debit</t>
  </si>
  <si>
    <t>STK_FLOW</t>
  </si>
  <si>
    <t>29.32. Proizvodnja ostalih dijelova i pribora za motorna vozila</t>
  </si>
  <si>
    <t>međunarodne pričuve</t>
  </si>
  <si>
    <t>pričuve_qoq</t>
  </si>
  <si>
    <t>30. Proizvodnja ostalih prijevoznih sredstava</t>
  </si>
  <si>
    <t>Robe</t>
  </si>
  <si>
    <t>30.1. Gradnja brodova i čamaca</t>
  </si>
  <si>
    <t>Usluge</t>
  </si>
  <si>
    <t>30.11. Gradnja brodova i plutajućih objekata</t>
  </si>
  <si>
    <t>Primarni dohodak</t>
  </si>
  <si>
    <t>Sekundarni dohodak</t>
  </si>
  <si>
    <t>Kapitalne transakcije</t>
  </si>
  <si>
    <t>Izravna ulaganja</t>
  </si>
  <si>
    <t>Portfeljna ulaganja</t>
  </si>
  <si>
    <t>Financijske izvedenice</t>
  </si>
  <si>
    <t>Ostala ulaganja</t>
  </si>
  <si>
    <t>Međunarodne pričuve</t>
  </si>
  <si>
    <t>Neto greške i propusti</t>
  </si>
  <si>
    <t>Tekuće transakcije</t>
  </si>
  <si>
    <t>Platna bilanca</t>
  </si>
  <si>
    <t>Services</t>
  </si>
  <si>
    <t>30.12. Gradnja čamaca za razonodu i sportskih čamaca</t>
  </si>
  <si>
    <t>Manufacturing services on physical inputs owned by others</t>
  </si>
  <si>
    <t>Maintenance and repair services n.i.e.</t>
  </si>
  <si>
    <t>Transport</t>
  </si>
  <si>
    <t>Travel</t>
  </si>
  <si>
    <t>Construction</t>
  </si>
  <si>
    <t>Insurance and pension services</t>
  </si>
  <si>
    <t>Financial services</t>
  </si>
  <si>
    <t>Charges for the use of intellectual property n.i.e.</t>
  </si>
  <si>
    <t>Telecommunications, computer, and information services</t>
  </si>
  <si>
    <t>Other business services</t>
  </si>
  <si>
    <t>Personal, cultural, and recreational services</t>
  </si>
  <si>
    <t>30.2. Proizvodnja željezničkih lokomotiva i tračničkih vozila</t>
  </si>
  <si>
    <t>Government goods and services n.i.e.</t>
  </si>
  <si>
    <t>Services: Manufacturing services on physical inputs owned by others</t>
  </si>
  <si>
    <t>Services: Maintenance and repair services n.i.e.</t>
  </si>
  <si>
    <t>Services: Transport</t>
  </si>
  <si>
    <t>Services: Travel</t>
  </si>
  <si>
    <t>Services: Construction</t>
  </si>
  <si>
    <t>Services: Insurance and pension services</t>
  </si>
  <si>
    <t>Services: Financial services</t>
  </si>
  <si>
    <t>Services: Charges for the use of intellectual property n.i.e.</t>
  </si>
  <si>
    <t>Services: Telecommunications, computer, and information services</t>
  </si>
  <si>
    <t>Services: Other business services</t>
  </si>
  <si>
    <t>Services: Personal, cultural, and recreational services</t>
  </si>
  <si>
    <t>Services: Government goods and services n.i.e.</t>
  </si>
  <si>
    <t>TIME/BOP_ITEM</t>
  </si>
  <si>
    <t>Primary income</t>
  </si>
  <si>
    <t>30.3. Proizvodnja zrakoplova i svemirskih letjelica te srodnih prijevoznih sredstava i opreme</t>
  </si>
  <si>
    <t>Investment income</t>
  </si>
  <si>
    <t>Secondary income</t>
  </si>
  <si>
    <t>Secondary income: Miscellaneous current transfers</t>
  </si>
  <si>
    <t>30.9. Proizvodnja prijevoznih sredstava, d. n.</t>
  </si>
  <si>
    <t>30.91. Proizvodnja motocikala</t>
  </si>
  <si>
    <t>30.92. Proizvodnja bicikala i invalidskih kolica</t>
  </si>
  <si>
    <t>u EUR</t>
  </si>
  <si>
    <t>30.99. Proizvodnja ostalih prijevoznih sredstava, d. n.</t>
  </si>
  <si>
    <t>31. Proizvodnja namještaja</t>
  </si>
  <si>
    <t>31.01. Proizvodnja namještaja za poslovne i prodajne prostore</t>
  </si>
  <si>
    <t>31.02. Proizvodnja kuhinjskog namještaja</t>
  </si>
  <si>
    <t>31.03. Proizvodnja madraca</t>
  </si>
  <si>
    <t>31.09. Proizvodnja ostalog namještaja</t>
  </si>
  <si>
    <t>32. Ostala prerađivačka industrija</t>
  </si>
  <si>
    <t>32.1. Proizvodnja nakita, imitacije nakita (bižuterije) i srodnih proizvoda</t>
  </si>
  <si>
    <t>32.12. Proizvodnja nakita i srodnih proizvoda</t>
  </si>
  <si>
    <t>u HRK</t>
  </si>
  <si>
    <t>32.2. Proizvodnja glazbenih instrumenata</t>
  </si>
  <si>
    <t>32.3. Proizvodnja sportske opreme</t>
  </si>
  <si>
    <t>32.4. Proizvodnja igara i igračaka</t>
  </si>
  <si>
    <t>PDV</t>
  </si>
  <si>
    <t>broj zaposlenih</t>
  </si>
  <si>
    <t>nominalna bruto plaća</t>
  </si>
  <si>
    <t>masa plaća</t>
  </si>
  <si>
    <t>omjer sa masom plaća</t>
  </si>
  <si>
    <t>32.5. Proizvodnja medicinskih i stomatoloških instrumenata i pribora</t>
  </si>
  <si>
    <t>DOBIT PRIJE OPOREZIVANJA</t>
  </si>
  <si>
    <t>GUBITAK PRIJE OPOREZIVANJA</t>
  </si>
  <si>
    <t>Porez na dobit</t>
  </si>
  <si>
    <t>32.9. Prerađivačka industrija, d. n.</t>
  </si>
  <si>
    <t>32.91. Proizvodnja metla i četaka</t>
  </si>
  <si>
    <t>32.99. Ostala prerađivačka industrija, d. n.</t>
  </si>
  <si>
    <t>AOP 2002</t>
  </si>
  <si>
    <t>33. Popravak i instaliranje strojeva i opreme</t>
  </si>
  <si>
    <t>33.1. Popravak proizvoda od metala, strojeva i opreme</t>
  </si>
  <si>
    <t>33.11. Popravak proizvoda od metala</t>
  </si>
  <si>
    <t>AOP 2009</t>
  </si>
  <si>
    <t>33.12. Popravak strojeva</t>
  </si>
  <si>
    <t>AOP 2010-2015</t>
  </si>
  <si>
    <t>33.13. Popravak elektroničke i optičke opreme</t>
  </si>
  <si>
    <t>AOP 2016</t>
  </si>
  <si>
    <t>33.14. Popravak električne opreme</t>
  </si>
  <si>
    <t>33.15. Popravak i održavanje brodova i čamaca</t>
  </si>
  <si>
    <t>33.16. Popravak i održavanje zrakoplova i svemirskih letjelica</t>
  </si>
  <si>
    <t>33.17. Popravak i održavanje ostalih prijevoznih sredstava</t>
  </si>
  <si>
    <t>33.19. Popravak ostale opreme</t>
  </si>
  <si>
    <t>33.2. Instaliranje industrijskih strojeva i opreme</t>
  </si>
  <si>
    <t>D. OPSKRBA ELEKTRIČNOM ENERGIJOM, PLINOM, PAROM I KLIMATIZACIJA</t>
  </si>
  <si>
    <t>35. Opskrba električnom energijom, plinom, parom i klimatizacija</t>
  </si>
  <si>
    <t>35.1. Proizvodnja, prijenos i distribucija električne energije</t>
  </si>
  <si>
    <t>35.11. Proizvodnja električne energije</t>
  </si>
  <si>
    <t>35.13. Distribucija električne energije</t>
  </si>
  <si>
    <t>35.2. Proizvodnja plina; distribucija plinovitih goriva distribucijskom mrežom</t>
  </si>
  <si>
    <t>35.22. Distribucija plinovitih goriva distribucijskom mrežom</t>
  </si>
  <si>
    <t>35.23. Trgovina plinom distribucijskom mrežom</t>
  </si>
  <si>
    <t>35.3. Opskrba parom i klimatizacija</t>
  </si>
  <si>
    <t>E. OPSKRBA VODOM; UKLANJANJE OTPADNIH VODA, GOSPODARENJE OTPADOM TE DJELATNOSTI SANACIJE OKOLIŠA</t>
  </si>
  <si>
    <t>36. Skupljanje, pročišćavanje i opskrba vodom</t>
  </si>
  <si>
    <t>37. Uklanjanje otpadnih voda</t>
  </si>
  <si>
    <t>38. Skupljanje otpada, djelatnosti obrade i zbrinjavanja otpada; oporaba materijala</t>
  </si>
  <si>
    <t>38.1. Skupljanje otpada</t>
  </si>
  <si>
    <t>38.11. Skupljanje neopasnog otpada</t>
  </si>
  <si>
    <t>38.12. Skupljanje opasnog otpada</t>
  </si>
  <si>
    <t>38.2. Obrada i zbrinjavanje otpada</t>
  </si>
  <si>
    <t>38.21. Obrada i zbrinjavanje neopasnog otpada</t>
  </si>
  <si>
    <t>38.22. Obrada i zbrinjavanje opasnog otpada</t>
  </si>
  <si>
    <t>39. Djelatnosti sanacije okoliša te ostale djelatnosti gospodarenja otpadom</t>
  </si>
  <si>
    <t>F. GRAĐEVINARSTVO</t>
  </si>
  <si>
    <t>41. Gradnja zgrada</t>
  </si>
  <si>
    <t>41.1. Organizacija izvedbe projekata za zgrade</t>
  </si>
  <si>
    <t>41.2. Gradnja stambenih i nestambenih zgrada</t>
  </si>
  <si>
    <t>42. Gradnja građevina niskogradnje</t>
  </si>
  <si>
    <t>42.1. Gradnja cesta i željezničkih pruga</t>
  </si>
  <si>
    <t>42.11. Gradnja cesta i autocesta</t>
  </si>
  <si>
    <t>42.2. Gradnja cjevovoda, vodova za električnu struju i telekomunikacije</t>
  </si>
  <si>
    <t>42.21. Gradnja cjevovoda za tekućine i plinove</t>
  </si>
  <si>
    <t>42.22. Gradnja vodova za električnu struju i telekomunikacije</t>
  </si>
  <si>
    <t>42.9. Gradnja ostalih građevina niskogradnje</t>
  </si>
  <si>
    <t>42.91. Gradnja vodnih građevina</t>
  </si>
  <si>
    <t>42.99. Gradnja ostalih građevina niskogradnje, d. n.</t>
  </si>
  <si>
    <t>43. Specijalizirane građevinske djelatnosti</t>
  </si>
  <si>
    <t>43.1. Uklanjanje građevina i pripremni radovi na gradilištu</t>
  </si>
  <si>
    <t>43.11. Uklanjanje građevina</t>
  </si>
  <si>
    <t>43.12. Pripremni radovi na gradilištu</t>
  </si>
  <si>
    <t>43.13. Pokusno bušenje i sondiranje terena za gradnju</t>
  </si>
  <si>
    <t>43.2. Elektroinstalacijski radovi, uvođenje instalacija vodovoda, kanalizacije i plina i ostali građevinski instalacijski radovi</t>
  </si>
  <si>
    <t>43.21. Elektroinstalacijski radovi</t>
  </si>
  <si>
    <t>43.22. Uvođenje instalacija vodovoda, kanalizacije i plina i instalacija za grijanje i klimatizaciju</t>
  </si>
  <si>
    <t>43.29. Ostali građevinski instalacijski radovi</t>
  </si>
  <si>
    <t>43.3. Završni građevinski radovi</t>
  </si>
  <si>
    <t>43.31. Fasadni i štukaturski radovi</t>
  </si>
  <si>
    <t>43.32. Ugradnja stolarije</t>
  </si>
  <si>
    <t>43.33. Postavljanje podnih i zidnih obloga</t>
  </si>
  <si>
    <t>43.34. Soboslikarski i staklarski radovi</t>
  </si>
  <si>
    <t>43.39. Ostali završni građevinski radovi</t>
  </si>
  <si>
    <t>43.9. Ostale specijalizirane građevinske djelatnosti</t>
  </si>
  <si>
    <t>43.91. Radovi na krovištu</t>
  </si>
  <si>
    <t>43.99. Ostale specijalizirane građevinske djelatnosti, d. n.</t>
  </si>
  <si>
    <t>G. TRGOVINA NA VELIKO I NA MALO; POPRAVAK MOTORNIH VOZILA I MOTOCIKALA</t>
  </si>
  <si>
    <t>45. Trgovina na veliko i na malo motornim vozilima i motociklima; popravak motornih vozila i motocikala</t>
  </si>
  <si>
    <t>45.1. Trgovina motornim vozilima</t>
  </si>
  <si>
    <t>45.11. Trgovina automobilima i motornim vozilima lake kategorije</t>
  </si>
  <si>
    <t>45.19. Trgovina ostalim motornim vozilima</t>
  </si>
  <si>
    <t>45.2. Održavanje i popravak motornih vozila</t>
  </si>
  <si>
    <t>45.3. Trgovina dijelovima i priborom za motorna vozila</t>
  </si>
  <si>
    <t>45.31. Trgovina na veliko dijelovima i priborom za motorna vozila</t>
  </si>
  <si>
    <t>45.32. Trgovina na malo dijelovima i priborom za motorna vozila</t>
  </si>
  <si>
    <t>45.4. Trgovina motociklima, dijelovima i priborom za motocikle te održavanje i popravak motocikala</t>
  </si>
  <si>
    <t>46. Trgovina na veliko, osim trgovine motornim vozilima i motociklima</t>
  </si>
  <si>
    <t>46.1. Trgovina na veliko uz naplatu ili na osnovi ugovora</t>
  </si>
  <si>
    <t>46.11. Posredovanje u trgovini poljoprivrednim sirovinama, živom stokom, tekstilnim sirovinama i poluproizvodima</t>
  </si>
  <si>
    <t>46.12. Posredovanje u trgovini gorivima, rudama, metalima i industrijskim kemijskim proizvodima</t>
  </si>
  <si>
    <t>46.13. Posredovanje u trgovini drvom i građevinskim materijalom</t>
  </si>
  <si>
    <t>46.14. Posredovanje u trgovini strojevima, industrijskom opremom, brodovima i zrakoplovima</t>
  </si>
  <si>
    <t>46.15. Posredovanje u trgovini namještajem, proizvodima za kućanstvo i željeznom robom</t>
  </si>
  <si>
    <t>46.16. Posredovanje u trgovini tekstilom, odjećom, krznom, obućom i kožnim proizvodima</t>
  </si>
  <si>
    <t>46.17. Posredovanje u trgovini hranom, pićima i duhanom</t>
  </si>
  <si>
    <t>46.18. Posredovanje u trgovini specijaliziranoj za određene proizvode</t>
  </si>
  <si>
    <t>46.19. Posredovanje u trgovini raznovrsnim proizvodima</t>
  </si>
  <si>
    <t>46.2. Trgovina na veliko poljoprivrednim sirovinama i živom stokom</t>
  </si>
  <si>
    <t>46.21. Trgovina na veliko žitaricama, sirovim duhanom, sjemenjem i stočnom hranom</t>
  </si>
  <si>
    <t>46.22. Trgovina na veliko cvijećem i sadnicama</t>
  </si>
  <si>
    <t>46.23. Trgovina na veliko živom stokom</t>
  </si>
  <si>
    <t>46.24. Trgovina na veliko sirovim i štavljenim kožama</t>
  </si>
  <si>
    <t>46.3. Trgovina na veliko hranom, pićima i duhanom</t>
  </si>
  <si>
    <t>46.31. Trgovina na veliko voćem i povrćem</t>
  </si>
  <si>
    <t>46.32. Trgovina na veliko mesom i mesnim proizvodima</t>
  </si>
  <si>
    <t>46.33. Trgovina na veliko mlijekom, mliječnim proizvodima, jajima, jestivim uljima i mastima</t>
  </si>
  <si>
    <t>46.34. Trgovina na veliko pićima</t>
  </si>
  <si>
    <t>46.35. Trgovina na veliko duhanskim proizvodima</t>
  </si>
  <si>
    <t>46.36. Trgovina na veliko šećerom, čokoladom i bombonima</t>
  </si>
  <si>
    <t>46.37. Trgovina na veliko kavom, čajem, kakaom i začinima</t>
  </si>
  <si>
    <t>46.38. Trgovina na veliko ostalom hranom uključujući ribe, rakove i školjke</t>
  </si>
  <si>
    <t>46.39. Nespecijalizirana trgovina na veliko hranom, pićima i duhanskim proizvodima</t>
  </si>
  <si>
    <t>46.4. Trgovina na veliko proizvodima za kućanstvo</t>
  </si>
  <si>
    <t>46.41. Trgovina na veliko tekstilom</t>
  </si>
  <si>
    <t>46.42. Trgovina na veliko odjećom i obućom</t>
  </si>
  <si>
    <t>46.43. Trgovina na veliko električnim aparatima za kućanstvo</t>
  </si>
  <si>
    <t>46.44. Trgovina na veliko porculanom, staklom i sredstvima za čišćenje</t>
  </si>
  <si>
    <t>46.45. Trgovina na veliko parfemima i kozmetikom</t>
  </si>
  <si>
    <t>46.46. Trgovina na veliko farmaceutskim proizvodima</t>
  </si>
  <si>
    <t>46.47. Trgovina na veliko namještajem, sagovima i opremom za rasvjetu</t>
  </si>
  <si>
    <t>46.48. Trgovina na veliko satovima i nakitom</t>
  </si>
  <si>
    <t>46.49. Trgovina na veliko ostalim proizvodima za kućanstvo</t>
  </si>
  <si>
    <t>dkred</t>
  </si>
  <si>
    <t>unemp_gap</t>
  </si>
  <si>
    <t>46.5. Trgovina na veliko informacijsko-komunikacijskom opremom</t>
  </si>
  <si>
    <t>46.51. Trgovina na veliko računalima, perifernom opremom i softverom</t>
  </si>
  <si>
    <t>46.52. Trgovina na veliko elektroničkim i telekomunikacijskim dijelovima i opremom</t>
  </si>
  <si>
    <t>46.6. Trgovina na veliko ostalim strojevima, opremom i priborom</t>
  </si>
  <si>
    <t>46.61. Trgovina na veliko poljoprivrednim strojevima, opremom i priborom</t>
  </si>
  <si>
    <t>46.62. Trgovina na veliko alatnim strojevima</t>
  </si>
  <si>
    <t>46.63. Trgovina na veliko strojevima za rudnike i građevinarstvo</t>
  </si>
  <si>
    <t>46.64. Trgovina na veliko strojevima za tekstilnu industriju te strojevima za šivanje i pletenje</t>
  </si>
  <si>
    <t>46.65. Trgovina na veliko uredskim namještajem</t>
  </si>
  <si>
    <t>46.66. Trgovina na veliko ostalim uredskim strojevima i opremom</t>
  </si>
  <si>
    <t>46.69. Trgovina na veliko ostalim strojevima i opremom</t>
  </si>
  <si>
    <t>46.7. Ostala specijalizirana trgovina na veliko</t>
  </si>
  <si>
    <t>46.71. Trgovina na veliko krutim, tekućim i plinovitim gorivima i srodnim proizvodima</t>
  </si>
  <si>
    <t>46.72. Trgovina na veliko metalima i metalnim rudama</t>
  </si>
  <si>
    <t>46.73. Trgovina na veliko drvom, građevinskim materijalom i sanitarnom opremom</t>
  </si>
  <si>
    <t>46.74. Trgovina na veliko željeznom robom, instalacijskim materijalom i opremom za vodovod i grijanje</t>
  </si>
  <si>
    <t>46.75. Trgovina na veliko kemijskim proizvodima</t>
  </si>
  <si>
    <t>46.76. Trgovina na veliko ostalim poluproizvodima</t>
  </si>
  <si>
    <t>46.77. Trgovina na veliko ostacima i otpacima</t>
  </si>
  <si>
    <t>46.9. Nespecijalizirana trgovina na veliko</t>
  </si>
  <si>
    <t>47. Trgovina na malo, osim trgovine motornim vozilima i motociklima</t>
  </si>
  <si>
    <t>47.1. Trgovina na malo u nespecijaliziranim prodavaonicama</t>
  </si>
  <si>
    <t>47.11. Trgovina na malo u nespecijaliziranim prodavaonicama pretežno hranom, pićima i duhanskim proizvodima</t>
  </si>
  <si>
    <t>47.19. Ostala trgovina na malo u nespecijaliziranim prodavaonicama</t>
  </si>
  <si>
    <t>47.2. Trgovina na malo hranom, pićima i duhanskim proizvodima u specijaliziranim prodavaonicama</t>
  </si>
  <si>
    <t>47.21. Trgovina na malo voćem i povrćem u specijaliziranim prodavaonicama</t>
  </si>
  <si>
    <t>47.22. Trgovina na malo mesom i mesnim proizvodima u specijaliziranim prodavaonicama</t>
  </si>
  <si>
    <t>47.23. Trgovina na malo ribama, rakovima i školjkama u specijaliziranim prodavaonicama</t>
  </si>
  <si>
    <t>47.24. Trgovina na malo kruhom, pecivom, kolačima, tjesteninama, bombonima i slatkišima u specijaliziranim prodavaonicama</t>
  </si>
  <si>
    <t>47.25. Trgovina na malo pićima u specijaliziranim prodavaonicama</t>
  </si>
  <si>
    <t>47.26. Trgovina na malo duhanskim proizvodima u specijaliziranim prodavaonicama</t>
  </si>
  <si>
    <t>47.29. Ostala trgovina na malo prehrambenim proizvodima u specijaliziranim prodavaonicama</t>
  </si>
  <si>
    <t>47.3. Trgovina na malo motornim gorivima i mazivima u specijaliziranim prodavaonicama</t>
  </si>
  <si>
    <t>47.4. Trgovina na malo informacijsko-komunikacijskom opremom u specijaliziranim prodavaonicama</t>
  </si>
  <si>
    <t>47.41. Trgovina na malo računalima, perifernim jedinicama i softverom u specijaliziranim prodavaonicama</t>
  </si>
  <si>
    <t>47.42. Trgovina na malo telekomunikacijskom opremom u specijaliziranim prodavaonicama</t>
  </si>
  <si>
    <t>47.43. Trgovina na malo audio i videoopremom u specijaliziranim prodavaonicama</t>
  </si>
  <si>
    <t>47.5. Trgovina na malo ostalom opremom za kućanstvo u specijaliziranim prodavaonicama</t>
  </si>
  <si>
    <t>47.51. Trgovina na malo tekstilom u specijaliziranim prodavaonicama</t>
  </si>
  <si>
    <t>47.52. Trgovina na malo željeznom robom, bojama i staklom u specijaliziranim prodavaonicama</t>
  </si>
  <si>
    <t>47.53. Trgovina na malo sagovima i prostiračima za pod, zidnim i podnim oblogama u specijaliziranim prodavaonicama</t>
  </si>
  <si>
    <t>47.54. Trgovina na malo električnim aparatima za kućanstvo u specijaliziranim prodavaonicama</t>
  </si>
  <si>
    <t>47.59. Trgovina na malo namještajem, opremom za rasvjetu i ostalim proizvodima za kućanstvo u specijaliziranim prodavaonicama</t>
  </si>
  <si>
    <t>47.6. Trgovina na malo proizvodima za kulturu i rekreaciju u specijaliziranim prodavaonicama</t>
  </si>
  <si>
    <t>47.62. Trgovina na malo novinama, papirnatom robom i pisaćim priborom u specijaliziranim prodavaonicama</t>
  </si>
  <si>
    <t>47.65. Trgovina na malo igrama i igračkama u specijaliziranim prodavaonicama</t>
  </si>
  <si>
    <t>47.7. Trgovina na malo ostalom robom u specijaliziranim prodavaonicama</t>
  </si>
  <si>
    <t>47.71. Trgovina na malo odjećom u specijaliziranim prodavaonicama</t>
  </si>
  <si>
    <t>47.73. Ljekarne</t>
  </si>
  <si>
    <t>47.74. Trgovina na malo medicinskim pripravcima i ortopedskim pomagalima u specijaliziranim prodavaonicama</t>
  </si>
  <si>
    <t>47.76. Trgovina na malo cvijećem, sadnicama, sjemenjem, gnojivom, kućnim ljubimcima i hranom za kućne ljubimce u specijaliziranim prodavaonicama</t>
  </si>
  <si>
    <t>47.77. Trgovina na malo satovima i nakitom u specijaliziranim prodavaonicama</t>
  </si>
  <si>
    <t>47.78. Ostala trgovina na malo novom robom u specijaliziranim prodavaonicama</t>
  </si>
  <si>
    <t>47.79. Trgovina na malo rabljenom robom u specijaliziranim prodavaonicama</t>
  </si>
  <si>
    <t>47.8. Trgovina na malo na štandovima i tržnicama</t>
  </si>
  <si>
    <t>47.81. Trgovina na malo hranom, pićima i duhanskim proizvodima na štandovima i tržnicama</t>
  </si>
  <si>
    <t>47.82. Trgovina na malo tekstilom, odjećom i obućom na štandovima i tržnicama</t>
  </si>
  <si>
    <t>47.89. Trgovina na malo ostalom robom na štandovima i tržnicama</t>
  </si>
  <si>
    <t>47.9. Trgovina na malo izvan prodavaonica, štandova i tržnica</t>
  </si>
  <si>
    <t>47.91. Trgovina na malo preko pošte ili interneta</t>
  </si>
  <si>
    <t>47.99. Ostala trgovina na malo izvan prodavaonica, štandova i tržnica</t>
  </si>
  <si>
    <t>H. PRIJEVOZ I SKLADIŠTENJE</t>
  </si>
  <si>
    <t>49. Kopneni prijevoz i cjevovodni transport</t>
  </si>
  <si>
    <t>49.2. Željeznički prijevoz robe</t>
  </si>
  <si>
    <t>49.3. Ostali kopneni prijevoz putnika</t>
  </si>
  <si>
    <t>49.31. Gradski i prigradski kopneni prijevoz putnika</t>
  </si>
  <si>
    <t>49.32. Taksi služba</t>
  </si>
  <si>
    <t>49.39. Ostali kopneni prijevoz putnika, d. n.</t>
  </si>
  <si>
    <t>49.4. Cestovni prijevoz robe i usluge preseljenja</t>
  </si>
  <si>
    <t>49.41. Cestovni prijevoz robe</t>
  </si>
  <si>
    <t>49.42. Usluge preseljenja</t>
  </si>
  <si>
    <t>50. Vodeni prijevoz</t>
  </si>
  <si>
    <t>50.1. Pomorski i obalni prijevoz putnika</t>
  </si>
  <si>
    <t>50.2. Pomorski i obalni prijevoz robe</t>
  </si>
  <si>
    <t>50.3. Prijevoz putnika unutrašnjim vodenim putovima</t>
  </si>
  <si>
    <t>50.4. Prijevoz robe unutrašnjim vodenim putovima</t>
  </si>
  <si>
    <t>52. Skladištenje i prateće djelatnosti u prijevozu</t>
  </si>
  <si>
    <t>52.1. Skladištenje robe</t>
  </si>
  <si>
    <t>52.2. Prateće djelatnosti u prijevozu</t>
  </si>
  <si>
    <t>52.21. Uslužne djelatnosti u vezi s kopnenim prijevozom</t>
  </si>
  <si>
    <t>52.22. Uslužne djelatnosti u vezi s vodenim prijevozom</t>
  </si>
  <si>
    <t>52.23. Uslužne djelatnosti u vezi sa zračnim prijevozom</t>
  </si>
  <si>
    <t>52.24. Prekrcaj tereta</t>
  </si>
  <si>
    <t>52.29. Ostale prateće djelatnosti u prijevozu</t>
  </si>
  <si>
    <t>53. Poštanske i kurirske djelatnosti</t>
  </si>
  <si>
    <t>53.2. Djelatnosti pružanja ostalih poštanskih i kurirskih usluga</t>
  </si>
  <si>
    <t>I. DJELATNOSTI PRUŽANJA SMJEŠTAJA TE PRIPREME I USLUŽIVANJA HRANE</t>
  </si>
  <si>
    <t>55. Smještaj</t>
  </si>
  <si>
    <t>55.1. Hoteli i sličan smještaj</t>
  </si>
  <si>
    <t>55.2. Odmarališta i slični objekti za kraći odmor</t>
  </si>
  <si>
    <t>55.3. Kampovi i prostori za kampiranje</t>
  </si>
  <si>
    <t>55.9. Ostali smještaj</t>
  </si>
  <si>
    <t>56. Djelatnosti pripreme i usluživanja hrane i pića</t>
  </si>
  <si>
    <t>56.1. Djelatnosti restorana i ostalih objekata za pripremu i usluživanje hrane</t>
  </si>
  <si>
    <t>56.2. Djelatnosti keteringa i ostale djelatnosti pripreme i usluživanja hrane</t>
  </si>
  <si>
    <t>56.21. Djelatnosti keteringa</t>
  </si>
  <si>
    <t>56.29. Ostale djelatnosti pripreme i usluživanja hrane</t>
  </si>
  <si>
    <t>56.3. Djelatnosti pripreme i usluživanja pića</t>
  </si>
  <si>
    <t>infl_core_s1</t>
  </si>
  <si>
    <t>infl_eu</t>
  </si>
  <si>
    <t>unemp_s1</t>
  </si>
  <si>
    <t>unemp_s1_gap</t>
  </si>
  <si>
    <t>infl_core_s2</t>
  </si>
  <si>
    <t>unemp_s2</t>
  </si>
  <si>
    <t>unemp_s2_gap</t>
  </si>
  <si>
    <t>infl_core_s3</t>
  </si>
  <si>
    <t>unemp_s3</t>
  </si>
  <si>
    <t>unemp_s3_gap</t>
  </si>
  <si>
    <t>unemp_trend</t>
  </si>
  <si>
    <t>J. INFORMACIJE I KOMUNIKACIJE</t>
  </si>
  <si>
    <t>58. Izdavačke djelatnosti</t>
  </si>
  <si>
    <t>58.1. Izdavanje knjiga, periodičnih publikacija i ostale izdavačke djelatnosti</t>
  </si>
  <si>
    <t>58.11. Izdavanje knjiga</t>
  </si>
  <si>
    <t>58.13. Izdavanje novina</t>
  </si>
  <si>
    <t>58.14. Izdavanje časopisa i periodičnih publikacija</t>
  </si>
  <si>
    <t>59. Proizvodnja filmova, videofilmova i televizijskog programa, djelatnosti snimanja zvučnih zapisa i izdavanja glazbenih zapisa</t>
  </si>
  <si>
    <t>59.1. Proizvodnja i distribucija filmova, videofilmova i televizijskog programa</t>
  </si>
  <si>
    <t>59.11. Proizvodnja filmova, videofilmova i televizijskog programa</t>
  </si>
  <si>
    <t>59.12. Djelatnosti koje slijede nakon proizvodnje filmova, videofilmova i televizijskog programa</t>
  </si>
  <si>
    <t>59.13. Distribucija filmova, videofilmova i televizijskog programa</t>
  </si>
  <si>
    <t>59.14. Djelatnosti prikazivanja filmova</t>
  </si>
  <si>
    <t>59.2. Djelatnosti snimanja zvučnih zapisa i izdavanja glazbenih zapisa</t>
  </si>
  <si>
    <t>60. Emitiranje programa</t>
  </si>
  <si>
    <t>60.1. Emitiranje radijskog programa</t>
  </si>
  <si>
    <t>60.2. Emitiranje televizijskog</t>
  </si>
  <si>
    <t>60.2. Emitiranje televizijskog programa</t>
  </si>
  <si>
    <t>61. Telekomunikacije</t>
  </si>
  <si>
    <t>61.1. Djelatnosti žičane telekomunikacije</t>
  </si>
  <si>
    <t>61.2. Djelatnosti bežične telekomunikacije</t>
  </si>
  <si>
    <t>61.3. Djelatnosti satelitske telekomunikacije</t>
  </si>
  <si>
    <t>61.9. Ostale telekomunikacijske djelatnosti</t>
  </si>
  <si>
    <t>62. Računalno programiranje, savjetovanje i djelatnosti povezane s njima</t>
  </si>
  <si>
    <t>62.01. Računalno programiranje</t>
  </si>
  <si>
    <t>62.02. Savjetovanje u vezi s računalima</t>
  </si>
  <si>
    <t>62.03. Upravljanje računalnom opremom i sustavom</t>
  </si>
  <si>
    <t>62.09. Ostale uslužne djelatnosti u vezi s informacijskom tehnologijom i računalima</t>
  </si>
  <si>
    <t>63. Informacijske uslužne djelatnosti</t>
  </si>
  <si>
    <t>63.1. Obrada podataka, usluge poslužitelja i djelatnosti povezane s njima; internetski portali</t>
  </si>
  <si>
    <t>63.11. Obrada podataka, usluge poslužitelja i djelatnosti povezane s njima</t>
  </si>
  <si>
    <t>63.12. Internetski portali</t>
  </si>
  <si>
    <t>63.9. Ostale informacijske uslužne djelatnosti</t>
  </si>
  <si>
    <t>63.91. Djelatnosti novinskih agencija</t>
  </si>
  <si>
    <t>63.99. Ostale informacijske uslužne djelatnosti, d. n.</t>
  </si>
  <si>
    <t>K. FINANCIJSKE DJELATNOSTI I DJELATNOSTI OSIGURANJA</t>
  </si>
  <si>
    <t>64. Financijske uslužne djelatnosti, osim osiguranja i mirovinskih fondova</t>
  </si>
  <si>
    <t>64.1. Novčarsko posredovanje</t>
  </si>
  <si>
    <t>64.11. Središnje bankarstvo</t>
  </si>
  <si>
    <t>64.19. Ostalo novčarsko posredovanje</t>
  </si>
  <si>
    <t>65. Osiguranje, reosiguranje i mirovinski fondovi, osim, obveznoga socijalnog osiguranja</t>
  </si>
  <si>
    <t>65.1. Osiguranje</t>
  </si>
  <si>
    <t>65.11. Životno osiguranje</t>
  </si>
  <si>
    <t>65.12. Ostalo osiguranje</t>
  </si>
  <si>
    <t>65.2. Reosiguranje</t>
  </si>
  <si>
    <t>65.3. Mirovinski fondovi</t>
  </si>
  <si>
    <t>L. POSLOVANJE NEKRETNINAMA</t>
  </si>
  <si>
    <t>68. Poslovanje nekretninama</t>
  </si>
  <si>
    <t>68.1. Kupnja i prodaja vlastitih nekretnina</t>
  </si>
  <si>
    <t>68.2. Iznajmljivanje i upravljanje vlastitim nekretninama ili nekretninama uzetim u zakup (leasing)</t>
  </si>
  <si>
    <t>68.3. Poslovanje nekretninama uz naplatu ili na osnovi ugovora</t>
  </si>
  <si>
    <t>68.31. Agencije za poslovanje nekretninama</t>
  </si>
  <si>
    <t>68.32. Upravljanje nekretninama uz naplatu ili na osnovi ugovora</t>
  </si>
  <si>
    <t>M. STRUČNE, ZNANSTVENE I TEHNIČKE DJELATNOSTI</t>
  </si>
  <si>
    <t>69. Pravne i računovodstvene djelatnosti</t>
  </si>
  <si>
    <t>69.1. Pravne djelatnosti</t>
  </si>
  <si>
    <t>69.2. Računovodstvene, knjigovodstvene i revizijske djelatnosti; porezno savjetovanje</t>
  </si>
  <si>
    <t>70. Upravljačke djelatnosti; savjetovanje u vezi s upravljanjem</t>
  </si>
  <si>
    <t>70.1. Upravljačke djelatnosti</t>
  </si>
  <si>
    <t>70.2. Savjetovanje u vezi s upravljanjem</t>
  </si>
  <si>
    <t>70.21. Odnosi s javnošću i djelatnosti priopćivanja</t>
  </si>
  <si>
    <t>70.22. Savjetovanje u vezi s poslovanjem i ostalim upravljanjem</t>
  </si>
  <si>
    <t>71. Arhitektonske djelatnosti i inženjerstvo; tehničko ispitivanje i analiza</t>
  </si>
  <si>
    <t>71.1. Arhitektonske djelatnosti i inženjerstvo te s njima povezano tehničko savjetovanje</t>
  </si>
  <si>
    <t>71.11. Arhitektonske djelatnosti</t>
  </si>
  <si>
    <t>71.12. Inženjerstvo i s njim povezano tehničko savjetovanje</t>
  </si>
  <si>
    <t>71.2. Tehničko ispitivanje i analiza</t>
  </si>
  <si>
    <t>72. Znanstveno istraživanje i razvoj</t>
  </si>
  <si>
    <t>72.1. Istraživanje i eksperimentalni razvoj u prirodnim, tehničkim i tehnološkim znanostima</t>
  </si>
  <si>
    <t>72.11. Istraživanje i eksperimentalni razvoj u biotehnologiji</t>
  </si>
  <si>
    <t>infl_core</t>
  </si>
  <si>
    <t>72.19. Ostalo istraživanje i eksperimentalni razvoj u prirodnim, tehničkim i tehnološkim znanostima</t>
  </si>
  <si>
    <t>72.2. Istraživanje i eksperimentalni razvoj u društvenim i humanističkim znanostima</t>
  </si>
  <si>
    <t>*</t>
  </si>
  <si>
    <t>73. Promidžba (reklama i propaganda) i istraživanje tržišta</t>
  </si>
  <si>
    <t>73.1. Promidžba (reklama i propaganda)</t>
  </si>
  <si>
    <t>73.11. Agencije za promidžbu (reklamu i propagandu)</t>
  </si>
  <si>
    <t>73.12. Oglašavanje preko medija</t>
  </si>
  <si>
    <t>73.2. Istraživanje tržišta i ispitivanje javnoga mnijenja</t>
  </si>
  <si>
    <t>74. Ostale stručne, znanstvene i tehničke djelatnosti</t>
  </si>
  <si>
    <t>74.1. Specijalizirane dizajnerske djelatnosti</t>
  </si>
  <si>
    <t>74.2. Fotografske djelatnosti</t>
  </si>
  <si>
    <t>74.3. Prevoditeljske djelatnosti i usluge tumača</t>
  </si>
  <si>
    <t>74.9. Ostale stručne, znanstvene i tehničke djelatnosti, d. n.</t>
  </si>
  <si>
    <t>75. Veterinarske djelatnosti</t>
  </si>
  <si>
    <t>N. ADMINISTRATIVNE I POMOĆNE USLUŽNE DJELATNOSTI</t>
  </si>
  <si>
    <t>77. Djelatnosti iznajmljivanja i davanja u zakup (leasing)</t>
  </si>
  <si>
    <t>77.1. Iznajmljivanje i davanje u zakup (leasing) motornih vozila</t>
  </si>
  <si>
    <t>77.11. Iznajmljivanje i davanje u zakup (leasing) automobila i motornih vozila lake kategorije</t>
  </si>
  <si>
    <t>**</t>
  </si>
  <si>
    <t>77.12. Iznajmljivanje i davanje u zakup (leasing) kamiona</t>
  </si>
  <si>
    <t>77.2. Iznajmljivanje i davanje u zakup (leasing) predmeta za osobnu uporabu i kućanstvo</t>
  </si>
  <si>
    <t>77.21. Iznajmljivanje i davanje u zakup (lea­sing) opreme za rekreaciju i sport</t>
  </si>
  <si>
    <t>77.29. Iznajmljivanje i davanje u zakup (leasing) ostalih predmeta za osobnu uporabu i kućanstvo</t>
  </si>
  <si>
    <t>77.3. Iznajmljivanje i davanje u zakup (leasing) ostalih strojeva, opreme te materijalnih dobara</t>
  </si>
  <si>
    <t>77.31. Iznajmljivanje i davanje u zakup (leasing) poljoprivrednih strojeva i opreme</t>
  </si>
  <si>
    <t>77.32. Iznajmljivanje i davanje u zakup (leasing) strojeva i opreme za građevinarstvo i inženjerstvo</t>
  </si>
  <si>
    <t>77.33. Iznajmljivanje i davanje u zakup (leasing) uredskih strojeva i opreme (uključujući računala)</t>
  </si>
  <si>
    <t>min(2008-2009)</t>
  </si>
  <si>
    <t>prosjek 2008</t>
  </si>
  <si>
    <t>prosjek 2009</t>
  </si>
  <si>
    <t>HICP (2015 = 100) - monthly data (annual rate of change) [prc_hicp_manr]</t>
  </si>
  <si>
    <t>77.34. Iznajmljivanje i davanje u zakup (leasing) plovnih prijevoznih sredstava</t>
  </si>
  <si>
    <t>77.35. Iznajmljivanje i davanje u zakup (leasing) zračnih prijevoznih sredstava</t>
  </si>
  <si>
    <t>77.39. Iznajmljivanje i davanje u zakup (leasing) ostalih strojeva, opreme i materijalnih dobara, d. n.</t>
  </si>
  <si>
    <t>78. Djelatnosti zapošljavanja</t>
  </si>
  <si>
    <t>78.1. Djelatnosti agencija za zapošljavanje</t>
  </si>
  <si>
    <t>78.2. Djelatnosti agencija za privremeno zapošljavanje</t>
  </si>
  <si>
    <t>78.3. Ostalo ustupanje ljudskih resursa</t>
  </si>
  <si>
    <t>79. Putničke agencije, organizatori putovanja (turoperatori) i ostale rezervacijske usluge te djelatnosti povezane s njima</t>
  </si>
  <si>
    <t>79.1. Djelatnosti putničkih agencija i organizatora putovanja (turoperatora)</t>
  </si>
  <si>
    <t>79.11. Djelatnosti putničkih agencija</t>
  </si>
  <si>
    <t>79.12. Djelatnosti organizatora putovanja (turoperatora)</t>
  </si>
  <si>
    <t>79.9. Ostale rezervacijske usluge i djelatnosti povezane s njima</t>
  </si>
  <si>
    <t>All-items HICP</t>
  </si>
  <si>
    <t>80. Zaštitne i istražne djelatnosti</t>
  </si>
  <si>
    <t>80.1. Djelatnosti privatne zaštite</t>
  </si>
  <si>
    <t>80.2. Usluge zaštite uz pomoć sigurnosnih sustava</t>
  </si>
  <si>
    <t>80.3. Istražne djelatnosti</t>
  </si>
  <si>
    <t>81. Usluge u vezi s upravljanjem i održavanjem zgrada te djelatnosti uređenja i održavanja krajolika</t>
  </si>
  <si>
    <t>81.1. Upravljanje zgradama</t>
  </si>
  <si>
    <t>81.2. Djelatnosti čišćenja</t>
  </si>
  <si>
    <t>81.21. Osnovno čišćenje zgrada</t>
  </si>
  <si>
    <t>Food and non-alcoholic beverages</t>
  </si>
  <si>
    <t>81.22. Ostale djelatnosti čišćenja zgrada i objekata</t>
  </si>
  <si>
    <t>81.29. Ostale djelatnosti čišćenja</t>
  </si>
  <si>
    <t>81.3. Uslužne djelatnosti uređenja i održavanja krajolika</t>
  </si>
  <si>
    <t>82. Uredske administrativne i pomoćne djelatnosti te ostale poslovne pomoćne djelatnosti</t>
  </si>
  <si>
    <t>82.1. Uredske administrativne i pomoćne djelatnosti</t>
  </si>
  <si>
    <t>82.11. Kombinirane uredske administrativne uslužne djelatnosti</t>
  </si>
  <si>
    <t>82.19. Fotokopiranje, priprema dokumenata i ostale specijalizirane uredske pomoćne djelatnosti</t>
  </si>
  <si>
    <t>Alcoholic beverages, tobacco and narcotics</t>
  </si>
  <si>
    <t>82.2. Djelatnosti pozivnih centara</t>
  </si>
  <si>
    <t>82.3. Organizacija sastanaka i poslovnih sajmova</t>
  </si>
  <si>
    <t>82.9. Poslovne pomoćne uslužne djelatnosti, d. n.</t>
  </si>
  <si>
    <t>82.91. Djelatnosti agencija za prikupljanje i naplatu računa te kreditnih ureda</t>
  </si>
  <si>
    <t>82.92. Djelatnosti pakiranja</t>
  </si>
  <si>
    <t>82.99. Ostale poslovne pomoćne uslužne djelatnosti, d. n.</t>
  </si>
  <si>
    <t>S. OSTALE USLUŽNE</t>
  </si>
  <si>
    <t>95. Popravak računala i predmeta za osobnu uporabu i kućanstvo</t>
  </si>
  <si>
    <t>95.1. Popravak računala i komunikacijske opreme</t>
  </si>
  <si>
    <t>95.11. Popravak računala i periferne opreme</t>
  </si>
  <si>
    <t>Clothing and footwear</t>
  </si>
  <si>
    <t>95.12. Popravak komunikacijske opreme</t>
  </si>
  <si>
    <t>95.2. Popravak predmeta za osobnu uporabu i kućanstvo</t>
  </si>
  <si>
    <t>95.21. Popravak elektroničkih uređaja za široku potrošnju</t>
  </si>
  <si>
    <t>95.22. Popravak aparata za kućanstvo te opreme za kuću i vrt</t>
  </si>
  <si>
    <t>95.23. Popravak obuće i proizvoda od kože</t>
  </si>
  <si>
    <t>95.24. Popravak namještaja i pokućstva</t>
  </si>
  <si>
    <t>95.25. Popravak satova i nakita</t>
  </si>
  <si>
    <t>95.29. Popravak ostalih predmeta za osobnu uporabu i kućanstvo</t>
  </si>
  <si>
    <t>Housing, water, electricity, gas and other fuels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</si>
  <si>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</si>
  <si>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</si>
  <si>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</si>
  <si>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</si>
  <si>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</si>
  <si>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</si>
  <si>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</si>
  <si>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</si>
  <si>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</si>
  <si>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</si>
  <si>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</si>
  <si>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</si>
  <si>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</si>
  <si>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Ostalo</t>
  </si>
  <si>
    <t>Neraspoređeno</t>
  </si>
  <si>
    <t>Uvoz</t>
  </si>
  <si>
    <t>Proizvodnja prehrambenih proizvoda, pića i duhanskih proizvoda</t>
  </si>
  <si>
    <t>Proizvodnja tekstila, odjeće, kože i srodnih proizvoda</t>
  </si>
  <si>
    <t>Proizvodnja proizvoda od drva i papira, tiskanje</t>
  </si>
  <si>
    <t xml:space="preserve">Proizvodnja kemikalija i kemijskih proizvoda </t>
  </si>
  <si>
    <t>Proizvodnja proizvoda od gume i plastike te proizvodnja ostalih nemetalnih mineralnih proizvoda</t>
  </si>
  <si>
    <t xml:space="preserve">Proizvodnja osnovnih metala i proizvodnja izrađenih metalnih proizvoda, osim strojeva i opreme </t>
  </si>
  <si>
    <t xml:space="preserve">Proizvodnja računala te elektroničkih i optičkih proizvoda </t>
  </si>
  <si>
    <t>Proizvodnja strojeva i opreme, d. n.</t>
  </si>
  <si>
    <t>Proizvodnja prijevoznih sredstava</t>
  </si>
  <si>
    <t>Ostala prerađivačka industrija, popravak i instaliranje strojeva i opreme</t>
  </si>
  <si>
    <t>Proizvodnja koksa i rafiniranih naftnih
proizvoda</t>
  </si>
  <si>
    <t>Furnishings, household equipment and routine household maintenance</t>
  </si>
  <si>
    <t>Devizne intervencije</t>
  </si>
  <si>
    <t>Health</t>
  </si>
  <si>
    <t>Communications</t>
  </si>
  <si>
    <t>Recreation and culture</t>
  </si>
  <si>
    <t>Education</t>
  </si>
  <si>
    <t>Restaurants and hotels</t>
  </si>
  <si>
    <t>Miscellaneous goods and services</t>
  </si>
  <si>
    <t>Special value:</t>
  </si>
  <si>
    <t>:</t>
  </si>
  <si>
    <t>not available</t>
  </si>
  <si>
    <t>bottom-up procjena inflacije</t>
  </si>
  <si>
    <t>HICP - item weights [prc_hicp_inw]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</si>
  <si>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</si>
  <si>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</si>
  <si>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</si>
  <si>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</si>
  <si>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</si>
  <si>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</si>
  <si>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</si>
  <si>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</si>
  <si>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</si>
  <si>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</si>
  <si>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weightovi</t>
  </si>
  <si>
    <t>maksimalni pad iz krize</t>
  </si>
  <si>
    <t>avg(2009)-avg(2008)</t>
  </si>
  <si>
    <t>krediti</t>
  </si>
  <si>
    <t>ks_promjene</t>
  </si>
  <si>
    <t>jad</t>
  </si>
  <si>
    <t>placa</t>
  </si>
  <si>
    <t>lagicn</t>
  </si>
  <si>
    <t>x</t>
  </si>
  <si>
    <t>F-statistic: 170.4 on 4 and 59 DF,  p-value: &lt; 2.2e-16</t>
  </si>
  <si>
    <t xml:space="preserve">Multiple R-squared:  0.9203,    Adjusted R-squared:  0.9149 </t>
  </si>
  <si>
    <t xml:space="preserve">  (4 observations deleted due to missingness)</t>
  </si>
  <si>
    <t>Residual standard error: 2.169 on 59 degrees of freedom</t>
  </si>
  <si>
    <t>Signif. codes:  0 ‘***’ 0.001 ‘**’ 0.01 ‘*’ 0.05 ‘.’ 0.1 ‘ ’ 1</t>
  </si>
  <si>
    <t>---</t>
  </si>
  <si>
    <t xml:space="preserve">krediti      0.14710    0.05895   2.495 0.015408 *  </t>
  </si>
  <si>
    <t>ks_promjene -1.76652    0.48011  -3.679 0.000508 ***</t>
  </si>
  <si>
    <t xml:space="preserve">jad         -0.39958    0.12415  -3.218 0.002096 ** </t>
  </si>
  <si>
    <t>lagicn       0.71678    0.07467   9.599 1.16e-13 ***</t>
  </si>
  <si>
    <t xml:space="preserve">(Intercept) -0.84738    0.38403  -2.207 0.031248 *  </t>
  </si>
  <si>
    <t xml:space="preserve">            Estimate Std. Error t value Pr(&gt;|t|)    </t>
  </si>
  <si>
    <t xml:space="preserve">-5.3978 -1.3409  0.2442  1.2180  4.1063 </t>
  </si>
  <si>
    <t xml:space="preserve">    Min      1Q  Median      3Q     Max </t>
  </si>
  <si>
    <t>Residuals:</t>
  </si>
  <si>
    <t>lm(formula = icn ~ lagicn + jad + ks_promjene + krediti, data = podaci)</t>
  </si>
  <si>
    <t>Call:</t>
  </si>
  <si>
    <t>icn</t>
  </si>
  <si>
    <t>MODEL6</t>
  </si>
  <si>
    <t>lag(dkred, 4)</t>
  </si>
  <si>
    <t>&lt; 2e-16</t>
  </si>
  <si>
    <t>Ekspertna procjena!</t>
  </si>
  <si>
    <t>.</t>
  </si>
  <si>
    <t>Dug opće držve</t>
  </si>
  <si>
    <t>Unutarnji dug</t>
  </si>
  <si>
    <t>Inozemni dug</t>
  </si>
  <si>
    <t>Dug opće države (u mlrd. HRK)</t>
  </si>
  <si>
    <t>Dug opće države (u % BDP-a)</t>
  </si>
  <si>
    <t>ddug</t>
  </si>
  <si>
    <t>deficit</t>
  </si>
  <si>
    <t>delta</t>
  </si>
  <si>
    <t>reserv</t>
  </si>
  <si>
    <t>curacc</t>
  </si>
  <si>
    <t>bop</t>
  </si>
  <si>
    <t>tecaj</t>
  </si>
  <si>
    <t>yld</t>
  </si>
  <si>
    <t>us_yld</t>
  </si>
  <si>
    <t>pdebt_gdp</t>
  </si>
  <si>
    <t>pdeficit_gdp</t>
  </si>
  <si>
    <t>ciss_bond</t>
  </si>
  <si>
    <t>euribor</t>
  </si>
  <si>
    <t>dbdp</t>
  </si>
  <si>
    <t>investicijski</t>
  </si>
  <si>
    <t>HR</t>
  </si>
  <si>
    <t>t-value</t>
  </si>
  <si>
    <t>&lt; 2.2e-16</t>
  </si>
  <si>
    <t>long-run</t>
  </si>
  <si>
    <t>lreziduali</t>
  </si>
  <si>
    <t>dus_yld</t>
  </si>
  <si>
    <t>dpdebt_gdp</t>
  </si>
  <si>
    <t>dpdeficit_gdp</t>
  </si>
  <si>
    <t>dinvesticijski</t>
  </si>
  <si>
    <t>short-run</t>
  </si>
  <si>
    <t>fiksni efekt</t>
  </si>
  <si>
    <t>yld_lr</t>
  </si>
  <si>
    <t>ec_term</t>
  </si>
  <si>
    <t>dyld</t>
  </si>
  <si>
    <t>Ukupni godišnji pad</t>
  </si>
  <si>
    <t>Q1 doprinos</t>
  </si>
  <si>
    <t>Q2 doprinos</t>
  </si>
  <si>
    <t>Q3 doprinos</t>
  </si>
  <si>
    <t>Q4 doprinos</t>
  </si>
  <si>
    <t>mdl1</t>
  </si>
  <si>
    <t>mdl2</t>
  </si>
  <si>
    <t>prinos</t>
  </si>
  <si>
    <t>kratkoročne ks</t>
  </si>
  <si>
    <t>dugoročne ks</t>
  </si>
  <si>
    <t>kks</t>
  </si>
  <si>
    <t>dks</t>
  </si>
  <si>
    <t>lag(kks, 1)</t>
  </si>
  <si>
    <t>lag(dks, 1)</t>
  </si>
  <si>
    <t>Poljoprivreda</t>
  </si>
  <si>
    <t>Industrija</t>
  </si>
  <si>
    <t>Građevina</t>
  </si>
  <si>
    <t>Trgovina</t>
  </si>
  <si>
    <t>Financije</t>
  </si>
  <si>
    <t>Promet nekretninama</t>
  </si>
  <si>
    <t>Javne usluge</t>
  </si>
  <si>
    <t>Stanje</t>
  </si>
  <si>
    <t>Doprinosi</t>
  </si>
  <si>
    <t>B-E</t>
  </si>
  <si>
    <t>G-I</t>
  </si>
  <si>
    <t>O-Q</t>
  </si>
  <si>
    <t>R-U</t>
  </si>
  <si>
    <t>TOTAL</t>
  </si>
  <si>
    <t>M_N</t>
  </si>
  <si>
    <t>FR</t>
  </si>
  <si>
    <t>AT</t>
  </si>
  <si>
    <t>ES</t>
  </si>
  <si>
    <t>sektor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</si>
</sst>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k_n_-;\-* #,##0.00\ _k_n_-;_-* &quot;-&quot;??\ _k_n_-;_-@_-"/>
    <numFmt numFmtId="164" formatCode="_-* #,##0.00\ _k_n_-;\-* #,##0.00\ _k_n_-;_-* &quot;-&quot;??\ _k_n_-;_-@"/>
    <numFmt numFmtId="165" formatCode="0.0%"/>
    <numFmt numFmtId="166" formatCode="_-* #,##0\ _k_n_-;\-* #,##0\ _k_n_-;_-* &quot;-&quot;??\ _k_n_-;_-@"/>
    <numFmt numFmtId="167" formatCode="###,###,##0_ \ "/>
    <numFmt numFmtId="168" formatCode="0.0"/>
    <numFmt numFmtId="169" formatCode="#,##0.0"/>
    <numFmt numFmtId="170" formatCode="#,##0_ ;[Red]\-\ #,##0_ ;_-* &quot;- &quot;"/>
    <numFmt numFmtId="171" formatCode="#,##0.000000"/>
    <numFmt numFmtId="172" formatCode="_-* #,##0.0\ _k_n_-;\-* #,##0.0\ _k_n_-;_-* &quot;-&quot;??\ _k_n_-;_-@"/>
    <numFmt numFmtId="173" formatCode="0.000"/>
    <numFmt numFmtId="174" formatCode="_-* #,##0\ _k_n_-;\-* #,##0\ _k_n_-;_-* &quot;-&quot;??\ _k_n_-;_-@_-"/>
    <numFmt numFmtId="175" formatCode="_-* #,##0.0\ _k_n_-;\-* #,##0.0\ _k_n_-;_-* &quot;-&quot;??\ _k_n_-;_-@_-"/>
  </numFmts>
  <fonts count="49">
    <font>
      <sz val="11"/>
      <color theme="1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2"/>
      <charset val="238"/>
    </font>
    <font>
      <b/>
      <sz val="11"/>
      <color rgb="FFC00000"/>
      <name val="Calibri"/>
      <family val="2"/>
      <charset val="238"/>
    </font>
    <font>
      <sz val="9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9"/>
      <color rgb="FFC00000"/>
      <name val="Arial"/>
      <family val="2"/>
      <charset val="238"/>
    </font>
    <font>
      <b/>
      <sz val="9"/>
      <color theme="0"/>
      <name val="Arial"/>
      <family val="2"/>
      <charset val="238"/>
    </font>
    <font>
      <sz val="12"/>
      <color rgb="FF000000"/>
      <name val="Calibri"/>
      <family val="2"/>
      <charset val="238"/>
    </font>
    <font>
      <b/>
      <sz val="9"/>
      <color theme="1"/>
      <name val="Arial"/>
      <family val="2"/>
      <charset val="238"/>
    </font>
    <font>
      <b/>
      <sz val="9"/>
      <color rgb="FFC00000"/>
      <name val="Arial"/>
      <family val="2"/>
      <charset val="238"/>
    </font>
    <font>
      <sz val="11"/>
      <color rgb="FFC00000"/>
      <name val="Calibri"/>
      <family val="2"/>
      <charset val="238"/>
    </font>
    <font>
      <sz val="11"/>
      <color rgb="FFFF0000"/>
      <name val="Calibri"/>
      <family val="2"/>
      <charset val="238"/>
    </font>
    <font>
      <sz val="8"/>
      <color theme="1"/>
      <name val="Droid Sans Mono"/>
    </font>
    <font>
      <sz val="9"/>
      <color rgb="FFFF0000"/>
      <name val="Arial"/>
      <family val="2"/>
      <charset val="238"/>
    </font>
    <font>
      <b/>
      <sz val="16"/>
      <color theme="1"/>
      <name val="Calibri"/>
      <family val="2"/>
      <charset val="238"/>
    </font>
    <font>
      <sz val="20"/>
      <color theme="1"/>
      <name val="Calibri"/>
      <family val="2"/>
      <charset val="238"/>
    </font>
    <font>
      <sz val="12"/>
      <color theme="1"/>
      <name val="Calibri"/>
      <family val="2"/>
      <charset val="238"/>
    </font>
    <font>
      <sz val="11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5"/>
      <name val="Calibri"/>
      <family val="2"/>
      <charset val="238"/>
    </font>
    <font>
      <b/>
      <sz val="11"/>
      <color rgb="FF000000"/>
      <name val="Arial"/>
      <family val="2"/>
      <charset val="238"/>
    </font>
    <font>
      <b/>
      <sz val="11"/>
      <color theme="5"/>
      <name val="Calibri"/>
      <family val="2"/>
      <charset val="238"/>
    </font>
    <font>
      <sz val="11"/>
      <color rgb="FFC0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8"/>
      <color rgb="FFFF0000"/>
      <name val="Arial"/>
      <family val="2"/>
      <charset val="238"/>
    </font>
    <font>
      <sz val="11"/>
      <color rgb="FF0033CC"/>
      <name val="Calibri"/>
      <family val="2"/>
      <charset val="238"/>
    </font>
    <font>
      <vertAlign val="superscript"/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8"/>
      <color rgb="FF000000"/>
      <name val="Lucida Console"/>
      <family val="3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8" tint="-0.499984740745262"/>
      <name val="Arial"/>
      <family val="2"/>
      <charset val="238"/>
    </font>
    <font>
      <sz val="11"/>
      <color theme="1"/>
      <name val="Arial"/>
      <family val="2"/>
      <charset val="238"/>
    </font>
    <font>
      <sz val="9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AEABAB"/>
        <bgColor rgb="FFAEABAB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55052"/>
        <bgColor rgb="FF755052"/>
      </patternFill>
    </fill>
    <fill>
      <patternFill patternType="solid">
        <fgColor rgb="FFDEEAF6"/>
        <bgColor rgb="FFDEEAF6"/>
      </patternFill>
    </fill>
    <fill>
      <patternFill patternType="solid">
        <fgColor rgb="FFE6B8B7"/>
        <bgColor rgb="FFE6B8B7"/>
      </patternFill>
    </fill>
    <fill>
      <patternFill patternType="solid">
        <fgColor rgb="FFF2DCDB"/>
        <bgColor rgb="FFF2DCDB"/>
      </patternFill>
    </fill>
    <fill>
      <patternFill patternType="solid">
        <fgColor rgb="FF44546A"/>
        <bgColor rgb="FF44546A"/>
      </patternFill>
    </fill>
    <fill>
      <patternFill patternType="solid">
        <fgColor rgb="FFF4B083"/>
        <bgColor rgb="FFF4B083"/>
      </patternFill>
    </fill>
    <fill>
      <patternFill patternType="solid">
        <fgColor rgb="FFA88082"/>
        <bgColor rgb="FFA88082"/>
      </patternFill>
    </fill>
    <fill>
      <patternFill patternType="solid">
        <fgColor rgb="FFECD4D4"/>
        <bgColor rgb="FFECD4D4"/>
      </patternFill>
    </fill>
    <fill>
      <patternFill patternType="solid">
        <fgColor rgb="FF782C2A"/>
        <bgColor rgb="FF782C2A"/>
      </patternFill>
    </fill>
    <fill>
      <patternFill patternType="solid">
        <fgColor rgb="FFFBE4D5"/>
        <bgColor rgb="FFFBE4D5"/>
      </patternFill>
    </fill>
    <fill>
      <patternFill patternType="solid">
        <fgColor rgb="FF8496B0"/>
        <bgColor rgb="FF8496B0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5"/>
        <bgColor theme="5"/>
      </patternFill>
    </fill>
    <fill>
      <patternFill patternType="solid">
        <fgColor rgb="FFFF5050"/>
        <bgColor rgb="FFFF505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2E75B5"/>
        <bgColor rgb="FF2E75B5"/>
      </patternFill>
    </fill>
    <fill>
      <patternFill patternType="solid">
        <fgColor rgb="FFE2EFD9"/>
        <bgColor rgb="FFE2EFD9"/>
      </patternFill>
    </fill>
    <fill>
      <patternFill patternType="solid">
        <fgColor rgb="FFFF9999"/>
        <bgColor rgb="FFFF9999"/>
      </patternFill>
    </fill>
    <fill>
      <patternFill patternType="solid">
        <fgColor rgb="FF99CCFF"/>
        <bgColor rgb="FF99CC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CCC0DA"/>
        <bgColor rgb="FFCCC0DA"/>
      </patternFill>
    </fill>
    <fill>
      <patternFill patternType="solid">
        <fgColor rgb="FF60497A"/>
        <bgColor rgb="FF60497A"/>
      </patternFill>
    </fill>
    <fill>
      <patternFill patternType="solid">
        <fgColor rgb="FFE4DFEC"/>
        <bgColor rgb="FFE4DFE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FBFBF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</borders>
  <cellStyleXfs count="4">
    <xf numFmtId="0" fontId="0" fillId="0" borderId="0"/>
    <xf numFmtId="9" fontId="39" fillId="0" borderId="0" applyFont="0" applyFill="0" applyBorder="0" applyAlignment="0" applyProtection="0"/>
    <xf numFmtId="0" fontId="2" fillId="0" borderId="52"/>
    <xf numFmtId="43" fontId="45" fillId="0" borderId="0" applyFont="0" applyFill="0" applyBorder="0" applyAlignment="0" applyProtection="0"/>
  </cellStyleXfs>
  <cellXfs count="403">
    <xf numFmtId="0" fontId="0" fillId="0" borderId="0" xfId="0" applyFont="1" applyAlignment="1"/>
    <xf numFmtId="0" fontId="3" fillId="2" borderId="1" xfId="0" applyFont="1" applyFill="1" applyBorder="1"/>
    <xf numFmtId="0" fontId="4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5" fillId="5" borderId="1" xfId="0" applyFont="1" applyFill="1" applyBorder="1"/>
    <xf numFmtId="164" fontId="3" fillId="0" borderId="0" xfId="0" applyNumberFormat="1" applyFont="1"/>
    <xf numFmtId="0" fontId="8" fillId="5" borderId="1" xfId="0" applyFont="1" applyFill="1" applyBorder="1"/>
    <xf numFmtId="14" fontId="9" fillId="9" borderId="6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5" fillId="0" borderId="0" xfId="0" applyFont="1"/>
    <xf numFmtId="0" fontId="10" fillId="9" borderId="1" xfId="0" applyFont="1" applyFill="1" applyBorder="1"/>
    <xf numFmtId="0" fontId="5" fillId="0" borderId="7" xfId="0" applyFont="1" applyBorder="1"/>
    <xf numFmtId="0" fontId="9" fillId="9" borderId="1" xfId="0" applyFont="1" applyFill="1" applyBorder="1" applyAlignment="1">
      <alignment horizontal="left" vertical="center"/>
    </xf>
    <xf numFmtId="0" fontId="5" fillId="10" borderId="1" xfId="0" applyFont="1" applyFill="1" applyBorder="1"/>
    <xf numFmtId="49" fontId="9" fillId="9" borderId="6" xfId="0" applyNumberFormat="1" applyFont="1" applyFill="1" applyBorder="1" applyAlignment="1">
      <alignment horizontal="left" vertical="center"/>
    </xf>
    <xf numFmtId="0" fontId="5" fillId="10" borderId="8" xfId="0" applyFont="1" applyFill="1" applyBorder="1"/>
    <xf numFmtId="0" fontId="6" fillId="8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11" fillId="11" borderId="1" xfId="0" applyFont="1" applyFill="1" applyBorder="1" applyAlignment="1">
      <alignment horizontal="left" vertical="center"/>
    </xf>
    <xf numFmtId="165" fontId="3" fillId="0" borderId="7" xfId="0" applyNumberFormat="1" applyFont="1" applyBorder="1"/>
    <xf numFmtId="3" fontId="11" fillId="12" borderId="9" xfId="0" applyNumberFormat="1" applyFont="1" applyFill="1" applyBorder="1" applyAlignment="1">
      <alignment horizontal="right" vertical="center"/>
    </xf>
    <xf numFmtId="165" fontId="3" fillId="0" borderId="0" xfId="0" applyNumberFormat="1" applyFont="1"/>
    <xf numFmtId="166" fontId="3" fillId="10" borderId="1" xfId="0" applyNumberFormat="1" applyFont="1" applyFill="1" applyBorder="1"/>
    <xf numFmtId="3" fontId="11" fillId="12" borderId="10" xfId="0" applyNumberFormat="1" applyFont="1" applyFill="1" applyBorder="1" applyAlignment="1">
      <alignment horizontal="right" vertical="center"/>
    </xf>
    <xf numFmtId="167" fontId="9" fillId="9" borderId="6" xfId="0" applyNumberFormat="1" applyFont="1" applyFill="1" applyBorder="1" applyAlignment="1">
      <alignment horizontal="left" vertical="center" wrapText="1"/>
    </xf>
    <xf numFmtId="0" fontId="9" fillId="9" borderId="6" xfId="0" applyFont="1" applyFill="1" applyBorder="1" applyAlignment="1">
      <alignment horizontal="left" vertical="center"/>
    </xf>
    <xf numFmtId="0" fontId="3" fillId="10" borderId="1" xfId="0" applyFont="1" applyFill="1" applyBorder="1"/>
    <xf numFmtId="166" fontId="3" fillId="0" borderId="0" xfId="0" applyNumberFormat="1" applyFont="1"/>
    <xf numFmtId="0" fontId="3" fillId="10" borderId="8" xfId="0" applyFont="1" applyFill="1" applyBorder="1"/>
    <xf numFmtId="0" fontId="9" fillId="13" borderId="6" xfId="0" applyFont="1" applyFill="1" applyBorder="1" applyAlignment="1">
      <alignment horizontal="left" vertical="center"/>
    </xf>
    <xf numFmtId="0" fontId="3" fillId="0" borderId="0" xfId="0" applyFont="1"/>
    <xf numFmtId="168" fontId="1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9" fontId="6" fillId="0" borderId="0" xfId="0" applyNumberFormat="1" applyFont="1"/>
    <xf numFmtId="166" fontId="6" fillId="0" borderId="0" xfId="0" applyNumberFormat="1" applyFont="1"/>
    <xf numFmtId="0" fontId="11" fillId="15" borderId="1" xfId="0" applyFont="1" applyFill="1" applyBorder="1"/>
    <xf numFmtId="164" fontId="11" fillId="12" borderId="9" xfId="0" applyNumberFormat="1" applyFont="1" applyFill="1" applyBorder="1" applyAlignment="1">
      <alignment horizontal="center" vertical="center"/>
    </xf>
    <xf numFmtId="0" fontId="11" fillId="15" borderId="1" xfId="0" quotePrefix="1" applyFont="1" applyFill="1" applyBorder="1" applyAlignment="1">
      <alignment vertical="center"/>
    </xf>
    <xf numFmtId="0" fontId="11" fillId="15" borderId="1" xfId="0" applyFont="1" applyFill="1" applyBorder="1" applyAlignment="1">
      <alignment vertical="top"/>
    </xf>
    <xf numFmtId="170" fontId="11" fillId="16" borderId="14" xfId="0" applyNumberFormat="1" applyFont="1" applyFill="1" applyBorder="1" applyAlignment="1">
      <alignment horizontal="right" vertical="center"/>
    </xf>
    <xf numFmtId="166" fontId="3" fillId="10" borderId="8" xfId="0" applyNumberFormat="1" applyFont="1" applyFill="1" applyBorder="1"/>
    <xf numFmtId="9" fontId="13" fillId="0" borderId="0" xfId="0" applyNumberFormat="1" applyFont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9" fontId="13" fillId="14" borderId="1" xfId="0" applyNumberFormat="1" applyFont="1" applyFill="1" applyBorder="1" applyAlignment="1">
      <alignment horizontal="center" vertical="center"/>
    </xf>
    <xf numFmtId="170" fontId="11" fillId="16" borderId="10" xfId="0" applyNumberFormat="1" applyFont="1" applyFill="1" applyBorder="1" applyAlignment="1">
      <alignment horizontal="right" vertical="center"/>
    </xf>
    <xf numFmtId="14" fontId="16" fillId="18" borderId="20" xfId="0" applyNumberFormat="1" applyFont="1" applyFill="1" applyBorder="1" applyAlignment="1">
      <alignment horizontal="center" vertical="center"/>
    </xf>
    <xf numFmtId="14" fontId="16" fillId="18" borderId="2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vertical="center"/>
    </xf>
    <xf numFmtId="14" fontId="16" fillId="18" borderId="22" xfId="0" applyNumberFormat="1" applyFont="1" applyFill="1" applyBorder="1" applyAlignment="1">
      <alignment horizontal="center" vertical="center"/>
    </xf>
    <xf numFmtId="3" fontId="17" fillId="12" borderId="10" xfId="0" applyNumberFormat="1" applyFont="1" applyFill="1" applyBorder="1" applyAlignment="1">
      <alignment horizontal="right" vertical="center"/>
    </xf>
    <xf numFmtId="14" fontId="16" fillId="18" borderId="23" xfId="0" applyNumberFormat="1" applyFont="1" applyFill="1" applyBorder="1" applyAlignment="1">
      <alignment horizontal="center" vertical="center"/>
    </xf>
    <xf numFmtId="14" fontId="16" fillId="18" borderId="24" xfId="0" applyNumberFormat="1" applyFont="1" applyFill="1" applyBorder="1" applyAlignment="1">
      <alignment horizontal="center" vertical="center"/>
    </xf>
    <xf numFmtId="14" fontId="16" fillId="18" borderId="25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top"/>
    </xf>
    <xf numFmtId="0" fontId="16" fillId="0" borderId="26" xfId="0" applyFont="1" applyBorder="1" applyAlignment="1">
      <alignment horizontal="center"/>
    </xf>
    <xf numFmtId="0" fontId="16" fillId="0" borderId="27" xfId="0" applyFont="1" applyBorder="1"/>
    <xf numFmtId="3" fontId="16" fillId="0" borderId="26" xfId="0" applyNumberFormat="1" applyFont="1" applyBorder="1"/>
    <xf numFmtId="3" fontId="16" fillId="0" borderId="28" xfId="0" applyNumberFormat="1" applyFont="1" applyBorder="1"/>
    <xf numFmtId="3" fontId="16" fillId="0" borderId="29" xfId="0" applyNumberFormat="1" applyFont="1" applyBorder="1"/>
    <xf numFmtId="3" fontId="16" fillId="0" borderId="0" xfId="0" applyNumberFormat="1" applyFont="1"/>
    <xf numFmtId="164" fontId="19" fillId="0" borderId="7" xfId="0" applyNumberFormat="1" applyFont="1" applyBorder="1"/>
    <xf numFmtId="164" fontId="19" fillId="0" borderId="0" xfId="0" applyNumberFormat="1" applyFont="1"/>
    <xf numFmtId="164" fontId="19" fillId="0" borderId="30" xfId="0" applyNumberFormat="1" applyFont="1" applyBorder="1"/>
    <xf numFmtId="0" fontId="16" fillId="0" borderId="31" xfId="0" applyFont="1" applyBorder="1" applyAlignment="1">
      <alignment horizontal="center"/>
    </xf>
    <xf numFmtId="0" fontId="16" fillId="0" borderId="29" xfId="0" applyFont="1" applyBorder="1"/>
    <xf numFmtId="3" fontId="16" fillId="0" borderId="31" xfId="0" applyNumberFormat="1" applyFont="1" applyBorder="1"/>
    <xf numFmtId="0" fontId="16" fillId="0" borderId="32" xfId="0" applyFont="1" applyBorder="1" applyAlignment="1">
      <alignment horizontal="center"/>
    </xf>
    <xf numFmtId="0" fontId="16" fillId="0" borderId="33" xfId="0" applyFont="1" applyBorder="1"/>
    <xf numFmtId="0" fontId="16" fillId="18" borderId="20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3" fontId="16" fillId="0" borderId="18" xfId="0" applyNumberFormat="1" applyFont="1" applyBorder="1" applyAlignment="1">
      <alignment vertical="center"/>
    </xf>
    <xf numFmtId="3" fontId="16" fillId="0" borderId="34" xfId="0" applyNumberFormat="1" applyFont="1" applyBorder="1" applyAlignment="1">
      <alignment vertical="center"/>
    </xf>
    <xf numFmtId="3" fontId="16" fillId="0" borderId="19" xfId="0" applyNumberFormat="1" applyFont="1" applyBorder="1" applyAlignment="1">
      <alignment vertical="center"/>
    </xf>
    <xf numFmtId="164" fontId="8" fillId="0" borderId="35" xfId="0" applyNumberFormat="1" applyFont="1" applyBorder="1" applyAlignment="1">
      <alignment vertical="center"/>
    </xf>
    <xf numFmtId="164" fontId="8" fillId="0" borderId="36" xfId="0" applyNumberFormat="1" applyFont="1" applyBorder="1" applyAlignment="1">
      <alignment vertical="center"/>
    </xf>
    <xf numFmtId="164" fontId="8" fillId="0" borderId="37" xfId="0" applyNumberFormat="1" applyFont="1" applyBorder="1" applyAlignment="1">
      <alignment vertical="center"/>
    </xf>
    <xf numFmtId="164" fontId="6" fillId="0" borderId="0" xfId="0" applyNumberFormat="1" applyFont="1"/>
    <xf numFmtId="14" fontId="19" fillId="0" borderId="0" xfId="0" applyNumberFormat="1" applyFont="1"/>
    <xf numFmtId="165" fontId="19" fillId="0" borderId="7" xfId="0" applyNumberFormat="1" applyFont="1" applyBorder="1"/>
    <xf numFmtId="165" fontId="19" fillId="0" borderId="0" xfId="0" applyNumberFormat="1" applyFont="1"/>
    <xf numFmtId="166" fontId="19" fillId="10" borderId="1" xfId="0" applyNumberFormat="1" applyFont="1" applyFill="1" applyBorder="1"/>
    <xf numFmtId="166" fontId="19" fillId="10" borderId="8" xfId="0" applyNumberFormat="1" applyFont="1" applyFill="1" applyBorder="1"/>
    <xf numFmtId="166" fontId="19" fillId="0" borderId="0" xfId="0" applyNumberFormat="1" applyFont="1"/>
    <xf numFmtId="3" fontId="3" fillId="0" borderId="0" xfId="0" applyNumberFormat="1" applyFont="1"/>
    <xf numFmtId="0" fontId="6" fillId="0" borderId="7" xfId="0" applyFont="1" applyBorder="1"/>
    <xf numFmtId="0" fontId="6" fillId="0" borderId="30" xfId="0" applyFont="1" applyBorder="1"/>
    <xf numFmtId="166" fontId="19" fillId="0" borderId="0" xfId="0" applyNumberFormat="1" applyFont="1" applyAlignment="1">
      <alignment horizontal="center" vertical="center"/>
    </xf>
    <xf numFmtId="14" fontId="9" fillId="9" borderId="5" xfId="0" applyNumberFormat="1" applyFont="1" applyFill="1" applyBorder="1" applyAlignment="1">
      <alignment horizontal="left" vertical="center"/>
    </xf>
    <xf numFmtId="14" fontId="9" fillId="9" borderId="39" xfId="0" applyNumberFormat="1" applyFont="1" applyFill="1" applyBorder="1" applyAlignment="1">
      <alignment horizontal="left" vertical="center"/>
    </xf>
    <xf numFmtId="166" fontId="20" fillId="0" borderId="0" xfId="0" applyNumberFormat="1" applyFont="1"/>
    <xf numFmtId="14" fontId="9" fillId="9" borderId="1" xfId="0" applyNumberFormat="1" applyFont="1" applyFill="1" applyBorder="1" applyAlignment="1">
      <alignment horizontal="left" vertical="center"/>
    </xf>
    <xf numFmtId="14" fontId="9" fillId="9" borderId="8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164" fontId="3" fillId="0" borderId="7" xfId="0" applyNumberFormat="1" applyFont="1" applyBorder="1"/>
    <xf numFmtId="0" fontId="3" fillId="13" borderId="1" xfId="0" applyFont="1" applyFill="1" applyBorder="1"/>
    <xf numFmtId="164" fontId="6" fillId="0" borderId="30" xfId="0" applyNumberFormat="1" applyFont="1" applyBorder="1"/>
    <xf numFmtId="3" fontId="11" fillId="12" borderId="39" xfId="0" applyNumberFormat="1" applyFont="1" applyFill="1" applyBorder="1" applyAlignment="1">
      <alignment horizontal="right" vertical="center"/>
    </xf>
    <xf numFmtId="9" fontId="3" fillId="0" borderId="0" xfId="0" applyNumberFormat="1" applyFont="1"/>
    <xf numFmtId="3" fontId="11" fillId="12" borderId="1" xfId="0" applyNumberFormat="1" applyFont="1" applyFill="1" applyBorder="1" applyAlignment="1">
      <alignment horizontal="right" vertical="center"/>
    </xf>
    <xf numFmtId="3" fontId="11" fillId="12" borderId="8" xfId="0" applyNumberFormat="1" applyFont="1" applyFill="1" applyBorder="1" applyAlignment="1">
      <alignment horizontal="right" vertical="center"/>
    </xf>
    <xf numFmtId="0" fontId="11" fillId="15" borderId="1" xfId="0" quotePrefix="1" applyFont="1" applyFill="1" applyBorder="1" applyAlignment="1">
      <alignment vertical="top"/>
    </xf>
    <xf numFmtId="0" fontId="3" fillId="19" borderId="1" xfId="0" applyFont="1" applyFill="1" applyBorder="1"/>
    <xf numFmtId="165" fontId="19" fillId="0" borderId="15" xfId="0" applyNumberFormat="1" applyFont="1" applyBorder="1"/>
    <xf numFmtId="165" fontId="19" fillId="0" borderId="16" xfId="0" applyNumberFormat="1" applyFont="1" applyBorder="1"/>
    <xf numFmtId="164" fontId="14" fillId="12" borderId="39" xfId="0" applyNumberFormat="1" applyFont="1" applyFill="1" applyBorder="1" applyAlignment="1">
      <alignment horizontal="center" vertical="center"/>
    </xf>
    <xf numFmtId="166" fontId="19" fillId="10" borderId="40" xfId="0" applyNumberFormat="1" applyFont="1" applyFill="1" applyBorder="1"/>
    <xf numFmtId="164" fontId="14" fillId="12" borderId="1" xfId="0" applyNumberFormat="1" applyFont="1" applyFill="1" applyBorder="1" applyAlignment="1">
      <alignment horizontal="center" vertical="center"/>
    </xf>
    <xf numFmtId="166" fontId="19" fillId="10" borderId="41" xfId="0" applyNumberFormat="1" applyFont="1" applyFill="1" applyBorder="1"/>
    <xf numFmtId="164" fontId="14" fillId="12" borderId="8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1" fontId="3" fillId="19" borderId="1" xfId="0" applyNumberFormat="1" applyFont="1" applyFill="1" applyBorder="1"/>
    <xf numFmtId="3" fontId="14" fillId="12" borderId="39" xfId="0" applyNumberFormat="1" applyFont="1" applyFill="1" applyBorder="1" applyAlignment="1">
      <alignment horizontal="right" vertical="center"/>
    </xf>
    <xf numFmtId="3" fontId="14" fillId="12" borderId="1" xfId="0" applyNumberFormat="1" applyFont="1" applyFill="1" applyBorder="1" applyAlignment="1">
      <alignment horizontal="right" vertical="center"/>
    </xf>
    <xf numFmtId="3" fontId="14" fillId="12" borderId="8" xfId="0" applyNumberFormat="1" applyFont="1" applyFill="1" applyBorder="1" applyAlignment="1">
      <alignment horizontal="right" vertical="center"/>
    </xf>
    <xf numFmtId="9" fontId="3" fillId="0" borderId="0" xfId="0" applyNumberFormat="1" applyFont="1" applyAlignment="1">
      <alignment horizontal="center" vertical="center"/>
    </xf>
    <xf numFmtId="0" fontId="17" fillId="15" borderId="1" xfId="0" quotePrefix="1" applyFont="1" applyFill="1" applyBorder="1" applyAlignment="1">
      <alignment vertical="center"/>
    </xf>
    <xf numFmtId="0" fontId="17" fillId="15" borderId="1" xfId="0" applyFont="1" applyFill="1" applyBorder="1" applyAlignment="1">
      <alignment vertical="top"/>
    </xf>
    <xf numFmtId="170" fontId="17" fillId="16" borderId="10" xfId="0" applyNumberFormat="1" applyFont="1" applyFill="1" applyBorder="1" applyAlignment="1">
      <alignment horizontal="right" vertical="center"/>
    </xf>
    <xf numFmtId="3" fontId="17" fillId="16" borderId="10" xfId="0" applyNumberFormat="1" applyFont="1" applyFill="1" applyBorder="1" applyAlignment="1">
      <alignment horizontal="right" vertical="center"/>
    </xf>
    <xf numFmtId="0" fontId="22" fillId="15" borderId="1" xfId="0" quotePrefix="1" applyFont="1" applyFill="1" applyBorder="1" applyAlignment="1">
      <alignment vertical="top"/>
    </xf>
    <xf numFmtId="0" fontId="22" fillId="15" borderId="1" xfId="0" applyFont="1" applyFill="1" applyBorder="1" applyAlignment="1">
      <alignment vertical="top"/>
    </xf>
    <xf numFmtId="170" fontId="22" fillId="16" borderId="10" xfId="0" applyNumberFormat="1" applyFont="1" applyFill="1" applyBorder="1" applyAlignment="1">
      <alignment horizontal="right" vertical="center"/>
    </xf>
    <xf numFmtId="3" fontId="22" fillId="16" borderId="10" xfId="0" applyNumberFormat="1" applyFont="1" applyFill="1" applyBorder="1" applyAlignment="1">
      <alignment horizontal="right" vertical="center"/>
    </xf>
    <xf numFmtId="0" fontId="17" fillId="15" borderId="1" xfId="0" quotePrefix="1" applyFont="1" applyFill="1" applyBorder="1" applyAlignment="1">
      <alignment vertical="top"/>
    </xf>
    <xf numFmtId="3" fontId="14" fillId="14" borderId="39" xfId="0" applyNumberFormat="1" applyFont="1" applyFill="1" applyBorder="1" applyAlignment="1">
      <alignment horizontal="right" vertical="center"/>
    </xf>
    <xf numFmtId="3" fontId="14" fillId="14" borderId="1" xfId="0" applyNumberFormat="1" applyFont="1" applyFill="1" applyBorder="1" applyAlignment="1">
      <alignment horizontal="right" vertical="center"/>
    </xf>
    <xf numFmtId="3" fontId="14" fillId="14" borderId="8" xfId="0" applyNumberFormat="1" applyFont="1" applyFill="1" applyBorder="1" applyAlignment="1">
      <alignment horizontal="right" vertical="center"/>
    </xf>
    <xf numFmtId="170" fontId="6" fillId="0" borderId="0" xfId="0" applyNumberFormat="1" applyFont="1"/>
    <xf numFmtId="0" fontId="3" fillId="26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27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5" borderId="1" xfId="0" applyFont="1" applyFill="1" applyBorder="1" applyAlignment="1">
      <alignment wrapText="1"/>
    </xf>
    <xf numFmtId="166" fontId="3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wrapText="1"/>
    </xf>
    <xf numFmtId="166" fontId="3" fillId="6" borderId="1" xfId="0" applyNumberFormat="1" applyFont="1" applyFill="1" applyBorder="1" applyAlignment="1">
      <alignment wrapText="1"/>
    </xf>
    <xf numFmtId="166" fontId="3" fillId="7" borderId="1" xfId="0" applyNumberFormat="1" applyFont="1" applyFill="1" applyBorder="1" applyAlignment="1">
      <alignment wrapText="1"/>
    </xf>
    <xf numFmtId="166" fontId="3" fillId="8" borderId="1" xfId="0" applyNumberFormat="1" applyFont="1" applyFill="1" applyBorder="1" applyAlignment="1">
      <alignment wrapText="1"/>
    </xf>
    <xf numFmtId="3" fontId="11" fillId="12" borderId="53" xfId="0" applyNumberFormat="1" applyFont="1" applyFill="1" applyBorder="1" applyAlignment="1">
      <alignment vertical="center"/>
    </xf>
    <xf numFmtId="166" fontId="5" fillId="0" borderId="0" xfId="0" applyNumberFormat="1" applyFont="1"/>
    <xf numFmtId="166" fontId="5" fillId="29" borderId="1" xfId="0" applyNumberFormat="1" applyFont="1" applyFill="1" applyBorder="1"/>
    <xf numFmtId="166" fontId="5" fillId="30" borderId="1" xfId="0" applyNumberFormat="1" applyFont="1" applyFill="1" applyBorder="1"/>
    <xf numFmtId="166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vertical="center"/>
    </xf>
    <xf numFmtId="3" fontId="17" fillId="12" borderId="53" xfId="0" applyNumberFormat="1" applyFont="1" applyFill="1" applyBorder="1" applyAlignment="1">
      <alignment vertical="center"/>
    </xf>
    <xf numFmtId="166" fontId="27" fillId="0" borderId="0" xfId="0" applyNumberFormat="1" applyFont="1"/>
    <xf numFmtId="3" fontId="18" fillId="12" borderId="39" xfId="0" applyNumberFormat="1" applyFont="1" applyFill="1" applyBorder="1" applyAlignment="1">
      <alignment horizontal="right" vertical="center"/>
    </xf>
    <xf numFmtId="3" fontId="18" fillId="12" borderId="1" xfId="0" applyNumberFormat="1" applyFont="1" applyFill="1" applyBorder="1" applyAlignment="1">
      <alignment horizontal="right" vertical="center"/>
    </xf>
    <xf numFmtId="3" fontId="18" fillId="12" borderId="8" xfId="0" applyNumberFormat="1" applyFont="1" applyFill="1" applyBorder="1" applyAlignment="1">
      <alignment horizontal="right" vertical="center"/>
    </xf>
    <xf numFmtId="3" fontId="18" fillId="12" borderId="54" xfId="0" applyNumberFormat="1" applyFont="1" applyFill="1" applyBorder="1" applyAlignment="1">
      <alignment horizontal="right" vertical="center"/>
    </xf>
    <xf numFmtId="3" fontId="18" fillId="12" borderId="40" xfId="0" applyNumberFormat="1" applyFont="1" applyFill="1" applyBorder="1" applyAlignment="1">
      <alignment horizontal="right" vertical="center"/>
    </xf>
    <xf numFmtId="3" fontId="18" fillId="12" borderId="41" xfId="0" applyNumberFormat="1" applyFont="1" applyFill="1" applyBorder="1" applyAlignment="1">
      <alignment horizontal="right" vertical="center"/>
    </xf>
    <xf numFmtId="168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 vertical="center"/>
    </xf>
    <xf numFmtId="14" fontId="28" fillId="0" borderId="0" xfId="0" applyNumberFormat="1" applyFont="1"/>
    <xf numFmtId="166" fontId="26" fillId="0" borderId="0" xfId="0" applyNumberFormat="1" applyFont="1" applyAlignment="1"/>
    <xf numFmtId="166" fontId="13" fillId="0" borderId="0" xfId="0" applyNumberFormat="1" applyFont="1"/>
    <xf numFmtId="166" fontId="28" fillId="0" borderId="0" xfId="0" applyNumberFormat="1" applyFont="1"/>
    <xf numFmtId="0" fontId="3" fillId="27" borderId="1" xfId="0" applyFont="1" applyFill="1" applyBorder="1"/>
    <xf numFmtId="166" fontId="29" fillId="0" borderId="0" xfId="0" applyNumberFormat="1" applyFont="1" applyAlignment="1"/>
    <xf numFmtId="166" fontId="26" fillId="0" borderId="0" xfId="0" applyNumberFormat="1" applyFont="1"/>
    <xf numFmtId="166" fontId="30" fillId="29" borderId="1" xfId="0" applyNumberFormat="1" applyFont="1" applyFill="1" applyBorder="1"/>
    <xf numFmtId="166" fontId="30" fillId="30" borderId="1" xfId="0" applyNumberFormat="1" applyFont="1" applyFill="1" applyBorder="1"/>
    <xf numFmtId="165" fontId="28" fillId="0" borderId="0" xfId="0" applyNumberFormat="1" applyFont="1"/>
    <xf numFmtId="166" fontId="19" fillId="6" borderId="1" xfId="0" applyNumberFormat="1" applyFont="1" applyFill="1" applyBorder="1"/>
    <xf numFmtId="166" fontId="8" fillId="0" borderId="0" xfId="0" applyNumberFormat="1" applyFont="1"/>
    <xf numFmtId="166" fontId="19" fillId="14" borderId="1" xfId="0" applyNumberFormat="1" applyFont="1" applyFill="1" applyBorder="1"/>
    <xf numFmtId="166" fontId="8" fillId="29" borderId="1" xfId="0" applyNumberFormat="1" applyFont="1" applyFill="1" applyBorder="1"/>
    <xf numFmtId="166" fontId="31" fillId="0" borderId="0" xfId="0" applyNumberFormat="1" applyFont="1" applyAlignment="1"/>
    <xf numFmtId="166" fontId="8" fillId="30" borderId="1" xfId="0" applyNumberFormat="1" applyFont="1" applyFill="1" applyBorder="1"/>
    <xf numFmtId="0" fontId="3" fillId="0" borderId="0" xfId="0" applyFont="1" applyAlignment="1">
      <alignment horizontal="center"/>
    </xf>
    <xf numFmtId="9" fontId="19" fillId="0" borderId="0" xfId="0" applyNumberFormat="1" applyFont="1"/>
    <xf numFmtId="0" fontId="19" fillId="0" borderId="0" xfId="0" applyFont="1"/>
    <xf numFmtId="164" fontId="19" fillId="0" borderId="15" xfId="0" applyNumberFormat="1" applyFont="1" applyBorder="1"/>
    <xf numFmtId="164" fontId="19" fillId="0" borderId="16" xfId="0" applyNumberFormat="1" applyFont="1" applyBorder="1"/>
    <xf numFmtId="164" fontId="19" fillId="0" borderId="17" xfId="0" applyNumberFormat="1" applyFont="1" applyBorder="1"/>
    <xf numFmtId="0" fontId="3" fillId="6" borderId="1" xfId="0" applyFont="1" applyFill="1" applyBorder="1"/>
    <xf numFmtId="0" fontId="32" fillId="31" borderId="55" xfId="0" applyFont="1" applyFill="1" applyBorder="1"/>
    <xf numFmtId="171" fontId="10" fillId="0" borderId="0" xfId="0" applyNumberFormat="1" applyFont="1"/>
    <xf numFmtId="0" fontId="5" fillId="0" borderId="0" xfId="0" applyFont="1" applyAlignment="1">
      <alignment wrapText="1"/>
    </xf>
    <xf numFmtId="0" fontId="33" fillId="31" borderId="55" xfId="0" applyFont="1" applyFill="1" applyBorder="1"/>
    <xf numFmtId="0" fontId="32" fillId="31" borderId="55" xfId="0" applyFont="1" applyFill="1" applyBorder="1" applyAlignment="1">
      <alignment wrapText="1"/>
    </xf>
    <xf numFmtId="14" fontId="10" fillId="0" borderId="0" xfId="0" applyNumberFormat="1" applyFont="1"/>
    <xf numFmtId="164" fontId="10" fillId="0" borderId="0" xfId="0" applyNumberFormat="1" applyFont="1"/>
    <xf numFmtId="169" fontId="10" fillId="0" borderId="0" xfId="0" applyNumberFormat="1" applyFont="1" applyAlignment="1">
      <alignment horizontal="right"/>
    </xf>
    <xf numFmtId="169" fontId="10" fillId="32" borderId="1" xfId="0" applyNumberFormat="1" applyFont="1" applyFill="1" applyBorder="1" applyAlignment="1">
      <alignment horizontal="right"/>
    </xf>
    <xf numFmtId="169" fontId="3" fillId="0" borderId="0" xfId="0" applyNumberFormat="1" applyFont="1"/>
    <xf numFmtId="0" fontId="5" fillId="33" borderId="56" xfId="0" applyFont="1" applyFill="1" applyBorder="1"/>
    <xf numFmtId="166" fontId="34" fillId="33" borderId="57" xfId="0" applyNumberFormat="1" applyFont="1" applyFill="1" applyBorder="1"/>
    <xf numFmtId="166" fontId="34" fillId="33" borderId="58" xfId="0" applyNumberFormat="1" applyFont="1" applyFill="1" applyBorder="1"/>
    <xf numFmtId="14" fontId="32" fillId="31" borderId="55" xfId="0" applyNumberFormat="1" applyFont="1" applyFill="1" applyBorder="1"/>
    <xf numFmtId="169" fontId="33" fillId="0" borderId="55" xfId="0" applyNumberFormat="1" applyFont="1" applyBorder="1"/>
    <xf numFmtId="169" fontId="32" fillId="0" borderId="55" xfId="0" applyNumberFormat="1" applyFont="1" applyBorder="1"/>
    <xf numFmtId="0" fontId="5" fillId="33" borderId="39" xfId="0" applyFont="1" applyFill="1" applyBorder="1"/>
    <xf numFmtId="166" fontId="34" fillId="33" borderId="1" xfId="0" applyNumberFormat="1" applyFont="1" applyFill="1" applyBorder="1"/>
    <xf numFmtId="166" fontId="34" fillId="33" borderId="8" xfId="0" applyNumberFormat="1" applyFont="1" applyFill="1" applyBorder="1"/>
    <xf numFmtId="9" fontId="30" fillId="34" borderId="1" xfId="0" applyNumberFormat="1" applyFont="1" applyFill="1" applyBorder="1" applyAlignment="1">
      <alignment horizontal="center" vertical="center"/>
    </xf>
    <xf numFmtId="0" fontId="11" fillId="33" borderId="59" xfId="0" applyFont="1" applyFill="1" applyBorder="1" applyAlignment="1">
      <alignment horizontal="center" vertical="center" wrapText="1"/>
    </xf>
    <xf numFmtId="0" fontId="11" fillId="35" borderId="59" xfId="0" applyFont="1" applyFill="1" applyBorder="1" applyAlignment="1">
      <alignment horizontal="center" vertical="center" wrapText="1"/>
    </xf>
    <xf numFmtId="165" fontId="34" fillId="33" borderId="1" xfId="0" applyNumberFormat="1" applyFont="1" applyFill="1" applyBorder="1"/>
    <xf numFmtId="165" fontId="34" fillId="33" borderId="8" xfId="0" applyNumberFormat="1" applyFont="1" applyFill="1" applyBorder="1"/>
    <xf numFmtId="0" fontId="11" fillId="33" borderId="1" xfId="0" applyFont="1" applyFill="1" applyBorder="1" applyAlignment="1">
      <alignment vertical="center"/>
    </xf>
    <xf numFmtId="0" fontId="11" fillId="35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59" xfId="0" applyFont="1" applyFill="1" applyBorder="1" applyAlignment="1">
      <alignment vertical="center"/>
    </xf>
    <xf numFmtId="0" fontId="11" fillId="35" borderId="59" xfId="0" applyFont="1" applyFill="1" applyBorder="1" applyAlignment="1">
      <alignment horizontal="center" vertical="center"/>
    </xf>
    <xf numFmtId="0" fontId="11" fillId="33" borderId="59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3" fontId="11" fillId="35" borderId="1" xfId="0" applyNumberFormat="1" applyFont="1" applyFill="1" applyBorder="1" applyAlignment="1">
      <alignment horizontal="center" vertical="center"/>
    </xf>
    <xf numFmtId="3" fontId="11" fillId="33" borderId="1" xfId="0" applyNumberFormat="1" applyFont="1" applyFill="1" applyBorder="1" applyAlignment="1">
      <alignment horizontal="center" vertical="center"/>
    </xf>
    <xf numFmtId="0" fontId="17" fillId="33" borderId="60" xfId="0" applyFont="1" applyFill="1" applyBorder="1" applyAlignment="1">
      <alignment horizontal="center" vertical="center"/>
    </xf>
    <xf numFmtId="3" fontId="11" fillId="35" borderId="60" xfId="0" applyNumberFormat="1" applyFont="1" applyFill="1" applyBorder="1" applyAlignment="1">
      <alignment horizontal="center" vertical="center"/>
    </xf>
    <xf numFmtId="3" fontId="11" fillId="33" borderId="60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/>
    <xf numFmtId="14" fontId="26" fillId="0" borderId="0" xfId="0" applyNumberFormat="1" applyFont="1"/>
    <xf numFmtId="0" fontId="5" fillId="33" borderId="54" xfId="0" applyFont="1" applyFill="1" applyBorder="1"/>
    <xf numFmtId="165" fontId="34" fillId="33" borderId="40" xfId="0" applyNumberFormat="1" applyFont="1" applyFill="1" applyBorder="1"/>
    <xf numFmtId="165" fontId="5" fillId="0" borderId="0" xfId="0" applyNumberFormat="1" applyFont="1"/>
    <xf numFmtId="165" fontId="34" fillId="33" borderId="41" xfId="0" applyNumberFormat="1" applyFont="1" applyFill="1" applyBorder="1"/>
    <xf numFmtId="168" fontId="35" fillId="0" borderId="0" xfId="0" applyNumberFormat="1" applyFont="1" applyAlignment="1">
      <alignment horizontal="center"/>
    </xf>
    <xf numFmtId="172" fontId="3" fillId="0" borderId="0" xfId="0" applyNumberFormat="1" applyFont="1"/>
    <xf numFmtId="14" fontId="20" fillId="0" borderId="0" xfId="0" applyNumberFormat="1" applyFont="1"/>
    <xf numFmtId="172" fontId="20" fillId="0" borderId="0" xfId="0" applyNumberFormat="1" applyFont="1" applyAlignment="1">
      <alignment horizontal="center" vertical="center"/>
    </xf>
    <xf numFmtId="172" fontId="20" fillId="0" borderId="0" xfId="0" applyNumberFormat="1" applyFont="1"/>
    <xf numFmtId="169" fontId="10" fillId="0" borderId="0" xfId="0" applyNumberFormat="1" applyFont="1"/>
    <xf numFmtId="169" fontId="10" fillId="32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69" fontId="12" fillId="21" borderId="1" xfId="0" applyNumberFormat="1" applyFont="1" applyFill="1" applyBorder="1" applyAlignment="1">
      <alignment horizontal="center" vertical="center"/>
    </xf>
    <xf numFmtId="0" fontId="20" fillId="0" borderId="0" xfId="0" applyFont="1"/>
    <xf numFmtId="164" fontId="20" fillId="37" borderId="1" xfId="0" applyNumberFormat="1" applyFont="1" applyFill="1" applyBorder="1"/>
    <xf numFmtId="169" fontId="20" fillId="0" borderId="0" xfId="0" applyNumberFormat="1" applyFont="1"/>
    <xf numFmtId="172" fontId="20" fillId="21" borderId="1" xfId="0" applyNumberFormat="1" applyFont="1" applyFill="1" applyBorder="1"/>
    <xf numFmtId="0" fontId="20" fillId="37" borderId="1" xfId="0" applyFont="1" applyFill="1" applyBorder="1"/>
    <xf numFmtId="2" fontId="3" fillId="0" borderId="0" xfId="0" applyNumberFormat="1" applyFont="1"/>
    <xf numFmtId="0" fontId="9" fillId="13" borderId="6" xfId="0" applyFont="1" applyFill="1" applyBorder="1" applyAlignment="1">
      <alignment horizontal="left" vertical="center" wrapText="1"/>
    </xf>
    <xf numFmtId="9" fontId="32" fillId="0" borderId="0" xfId="0" applyNumberFormat="1" applyFont="1" applyAlignment="1">
      <alignment horizontal="center" vertical="center"/>
    </xf>
    <xf numFmtId="0" fontId="0" fillId="0" borderId="0" xfId="0" applyFont="1"/>
    <xf numFmtId="0" fontId="3" fillId="7" borderId="1" xfId="0" applyFont="1" applyFill="1" applyBorder="1"/>
    <xf numFmtId="169" fontId="0" fillId="0" borderId="0" xfId="0" applyNumberFormat="1" applyFont="1"/>
    <xf numFmtId="0" fontId="3" fillId="8" borderId="1" xfId="0" applyFont="1" applyFill="1" applyBorder="1"/>
    <xf numFmtId="3" fontId="11" fillId="38" borderId="1" xfId="0" applyNumberFormat="1" applyFont="1" applyFill="1" applyBorder="1" applyAlignment="1">
      <alignment vertical="top" wrapText="1"/>
    </xf>
    <xf numFmtId="3" fontId="11" fillId="38" borderId="1" xfId="0" applyNumberFormat="1" applyFont="1" applyFill="1" applyBorder="1" applyAlignment="1">
      <alignment vertical="center"/>
    </xf>
    <xf numFmtId="3" fontId="17" fillId="0" borderId="0" xfId="0" applyNumberFormat="1" applyFont="1" applyAlignment="1">
      <alignment vertical="center"/>
    </xf>
    <xf numFmtId="14" fontId="9" fillId="39" borderId="1" xfId="0" applyNumberFormat="1" applyFont="1" applyFill="1" applyBorder="1" applyAlignment="1">
      <alignment horizontal="left" vertical="center" wrapText="1"/>
    </xf>
    <xf numFmtId="3" fontId="11" fillId="40" borderId="10" xfId="0" applyNumberFormat="1" applyFont="1" applyFill="1" applyBorder="1" applyAlignment="1">
      <alignment vertical="center" wrapText="1"/>
    </xf>
    <xf numFmtId="3" fontId="11" fillId="40" borderId="10" xfId="0" applyNumberFormat="1" applyFont="1" applyFill="1" applyBorder="1" applyAlignment="1">
      <alignment horizontal="right" vertical="center" wrapText="1"/>
    </xf>
    <xf numFmtId="3" fontId="11" fillId="0" borderId="10" xfId="0" applyNumberFormat="1" applyFont="1" applyBorder="1" applyAlignment="1">
      <alignment vertical="center" wrapText="1"/>
    </xf>
    <xf numFmtId="14" fontId="9" fillId="39" borderId="5" xfId="0" applyNumberFormat="1" applyFont="1" applyFill="1" applyBorder="1" applyAlignment="1">
      <alignment horizontal="left" vertical="center" wrapText="1"/>
    </xf>
    <xf numFmtId="2" fontId="10" fillId="0" borderId="0" xfId="0" applyNumberFormat="1" applyFont="1"/>
    <xf numFmtId="14" fontId="36" fillId="0" borderId="0" xfId="0" applyNumberFormat="1" applyFont="1"/>
    <xf numFmtId="164" fontId="36" fillId="0" borderId="0" xfId="0" applyNumberFormat="1" applyFont="1"/>
    <xf numFmtId="14" fontId="9" fillId="39" borderId="61" xfId="0" applyNumberFormat="1" applyFont="1" applyFill="1" applyBorder="1" applyAlignment="1">
      <alignment horizontal="left" vertical="center" wrapText="1"/>
    </xf>
    <xf numFmtId="14" fontId="9" fillId="39" borderId="6" xfId="0" applyNumberFormat="1" applyFont="1" applyFill="1" applyBorder="1" applyAlignment="1">
      <alignment horizontal="left" vertical="center" wrapText="1"/>
    </xf>
    <xf numFmtId="3" fontId="11" fillId="40" borderId="10" xfId="0" applyNumberFormat="1" applyFont="1" applyFill="1" applyBorder="1" applyAlignment="1">
      <alignment horizontal="right" vertical="center"/>
    </xf>
    <xf numFmtId="3" fontId="11" fillId="33" borderId="10" xfId="0" applyNumberFormat="1" applyFont="1" applyFill="1" applyBorder="1" applyAlignment="1">
      <alignment vertical="center" wrapText="1"/>
    </xf>
    <xf numFmtId="14" fontId="9" fillId="39" borderId="62" xfId="0" applyNumberFormat="1" applyFont="1" applyFill="1" applyBorder="1" applyAlignment="1">
      <alignment horizontal="left" vertical="center" wrapText="1"/>
    </xf>
    <xf numFmtId="0" fontId="11" fillId="33" borderId="10" xfId="0" applyFont="1" applyFill="1" applyBorder="1" applyAlignment="1">
      <alignment horizontal="right" vertical="center"/>
    </xf>
    <xf numFmtId="3" fontId="11" fillId="33" borderId="10" xfId="0" applyNumberFormat="1" applyFont="1" applyFill="1" applyBorder="1" applyAlignment="1">
      <alignment horizontal="right" vertical="center"/>
    </xf>
    <xf numFmtId="3" fontId="11" fillId="33" borderId="10" xfId="0" applyNumberFormat="1" applyFont="1" applyFill="1" applyBorder="1" applyAlignment="1">
      <alignment vertical="center"/>
    </xf>
    <xf numFmtId="3" fontId="11" fillId="40" borderId="10" xfId="0" applyNumberFormat="1" applyFont="1" applyFill="1" applyBorder="1" applyAlignment="1">
      <alignment vertical="center"/>
    </xf>
    <xf numFmtId="0" fontId="11" fillId="33" borderId="10" xfId="0" applyFont="1" applyFill="1" applyBorder="1" applyAlignment="1">
      <alignment vertical="center"/>
    </xf>
    <xf numFmtId="3" fontId="11" fillId="33" borderId="10" xfId="0" applyNumberFormat="1" applyFont="1" applyFill="1" applyBorder="1"/>
    <xf numFmtId="3" fontId="11" fillId="0" borderId="10" xfId="0" applyNumberFormat="1" applyFont="1" applyBorder="1" applyAlignment="1">
      <alignment horizontal="right" vertical="center"/>
    </xf>
    <xf numFmtId="0" fontId="32" fillId="0" borderId="0" xfId="0" applyFont="1"/>
    <xf numFmtId="3" fontId="37" fillId="33" borderId="10" xfId="0" applyNumberFormat="1" applyFont="1" applyFill="1" applyBorder="1" applyAlignment="1">
      <alignment vertical="center"/>
    </xf>
    <xf numFmtId="3" fontId="37" fillId="0" borderId="10" xfId="0" applyNumberFormat="1" applyFont="1" applyBorder="1" applyAlignment="1">
      <alignment vertical="center"/>
    </xf>
    <xf numFmtId="4" fontId="32" fillId="0" borderId="55" xfId="0" applyNumberFormat="1" applyFont="1" applyBorder="1"/>
    <xf numFmtId="165" fontId="0" fillId="0" borderId="0" xfId="0" applyNumberFormat="1" applyFont="1"/>
    <xf numFmtId="164" fontId="0" fillId="0" borderId="0" xfId="0" applyNumberFormat="1" applyFont="1"/>
    <xf numFmtId="0" fontId="2" fillId="0" borderId="52" xfId="2"/>
    <xf numFmtId="169" fontId="2" fillId="0" borderId="52" xfId="2" applyNumberFormat="1"/>
    <xf numFmtId="169" fontId="2" fillId="0" borderId="52" xfId="2" applyNumberFormat="1" applyAlignment="1">
      <alignment horizontal="center" vertical="center"/>
    </xf>
    <xf numFmtId="169" fontId="2" fillId="41" borderId="52" xfId="2" applyNumberFormat="1" applyFill="1"/>
    <xf numFmtId="169" fontId="40" fillId="0" borderId="52" xfId="2" applyNumberFormat="1" applyFont="1" applyAlignment="1">
      <alignment horizontal="center" vertical="center"/>
    </xf>
    <xf numFmtId="169" fontId="40" fillId="42" borderId="52" xfId="2" applyNumberFormat="1" applyFont="1" applyFill="1" applyAlignment="1">
      <alignment horizontal="center" vertical="center"/>
    </xf>
    <xf numFmtId="173" fontId="2" fillId="0" borderId="52" xfId="2" applyNumberFormat="1"/>
    <xf numFmtId="0" fontId="41" fillId="43" borderId="52" xfId="2" applyFont="1" applyFill="1" applyAlignment="1">
      <alignment vertical="center"/>
    </xf>
    <xf numFmtId="0" fontId="41" fillId="0" borderId="52" xfId="2" applyFont="1" applyAlignment="1">
      <alignment vertical="center"/>
    </xf>
    <xf numFmtId="0" fontId="2" fillId="0" borderId="52" xfId="2" applyAlignment="1">
      <alignment vertical="center"/>
    </xf>
    <xf numFmtId="169" fontId="40" fillId="0" borderId="52" xfId="2" applyNumberFormat="1" applyFont="1" applyAlignment="1">
      <alignment horizontal="center" vertical="center" wrapText="1"/>
    </xf>
    <xf numFmtId="0" fontId="2" fillId="44" borderId="52" xfId="2" applyFill="1"/>
    <xf numFmtId="165" fontId="3" fillId="0" borderId="0" xfId="1" applyNumberFormat="1" applyFont="1"/>
    <xf numFmtId="168" fontId="44" fillId="0" borderId="0" xfId="0" applyNumberFormat="1" applyFont="1" applyAlignment="1">
      <alignment horizontal="center"/>
    </xf>
    <xf numFmtId="14" fontId="2" fillId="0" borderId="52" xfId="2" applyNumberFormat="1"/>
    <xf numFmtId="14" fontId="40" fillId="0" borderId="52" xfId="2" applyNumberFormat="1" applyFont="1"/>
    <xf numFmtId="11" fontId="0" fillId="0" borderId="0" xfId="0" applyNumberFormat="1" applyFont="1" applyAlignment="1"/>
    <xf numFmtId="14" fontId="0" fillId="0" borderId="0" xfId="0" applyNumberFormat="1" applyFont="1" applyAlignment="1"/>
    <xf numFmtId="174" fontId="3" fillId="0" borderId="0" xfId="3" applyNumberFormat="1" applyFont="1"/>
    <xf numFmtId="174" fontId="0" fillId="0" borderId="0" xfId="3" applyNumberFormat="1" applyFont="1" applyAlignment="1"/>
    <xf numFmtId="0" fontId="27" fillId="0" borderId="0" xfId="0" applyFont="1" applyAlignment="1"/>
    <xf numFmtId="0" fontId="27" fillId="0" borderId="0" xfId="0" quotePrefix="1" applyFont="1" applyAlignment="1"/>
    <xf numFmtId="9" fontId="3" fillId="0" borderId="0" xfId="1" applyFont="1"/>
    <xf numFmtId="9" fontId="20" fillId="0" borderId="0" xfId="1" applyFont="1"/>
    <xf numFmtId="174" fontId="3" fillId="0" borderId="0" xfId="0" applyNumberFormat="1" applyFont="1"/>
    <xf numFmtId="0" fontId="0" fillId="0" borderId="0" xfId="0" applyFont="1" applyAlignment="1"/>
    <xf numFmtId="0" fontId="11" fillId="0" borderId="0" xfId="0" applyFont="1" applyAlignment="1"/>
    <xf numFmtId="14" fontId="11" fillId="0" borderId="0" xfId="0" applyNumberFormat="1" applyFont="1" applyAlignment="1"/>
    <xf numFmtId="175" fontId="11" fillId="0" borderId="0" xfId="0" applyNumberFormat="1" applyFont="1" applyAlignment="1"/>
    <xf numFmtId="43" fontId="11" fillId="0" borderId="0" xfId="0" applyNumberFormat="1" applyFont="1" applyAlignment="1"/>
    <xf numFmtId="14" fontId="22" fillId="0" borderId="0" xfId="0" applyNumberFormat="1" applyFont="1" applyAlignment="1"/>
    <xf numFmtId="0" fontId="22" fillId="0" borderId="0" xfId="0" applyFont="1" applyAlignment="1"/>
    <xf numFmtId="43" fontId="22" fillId="0" borderId="0" xfId="0" applyNumberFormat="1" applyFont="1" applyAlignment="1"/>
    <xf numFmtId="175" fontId="22" fillId="0" borderId="0" xfId="0" applyNumberFormat="1" applyFont="1" applyAlignment="1"/>
    <xf numFmtId="175" fontId="11" fillId="0" borderId="0" xfId="3" applyNumberFormat="1" applyFont="1" applyAlignment="1"/>
    <xf numFmtId="0" fontId="17" fillId="0" borderId="0" xfId="0" applyFont="1" applyAlignment="1"/>
    <xf numFmtId="175" fontId="22" fillId="0" borderId="0" xfId="3" applyNumberFormat="1" applyFont="1" applyAlignment="1"/>
    <xf numFmtId="0" fontId="22" fillId="0" borderId="0" xfId="3" applyNumberFormat="1" applyFont="1" applyAlignment="1"/>
    <xf numFmtId="43" fontId="6" fillId="0" borderId="0" xfId="0" applyNumberFormat="1" applyFont="1"/>
    <xf numFmtId="168" fontId="22" fillId="0" borderId="0" xfId="0" applyNumberFormat="1" applyFont="1" applyAlignment="1"/>
    <xf numFmtId="43" fontId="47" fillId="0" borderId="0" xfId="0" applyNumberFormat="1" applyFont="1" applyAlignment="1"/>
    <xf numFmtId="2" fontId="47" fillId="0" borderId="0" xfId="0" applyNumberFormat="1" applyFont="1" applyAlignment="1"/>
    <xf numFmtId="43" fontId="17" fillId="0" borderId="0" xfId="3" applyFont="1" applyAlignment="1"/>
    <xf numFmtId="43" fontId="3" fillId="27" borderId="1" xfId="3" applyFont="1" applyFill="1" applyBorder="1"/>
    <xf numFmtId="0" fontId="5" fillId="13" borderId="1" xfId="0" applyFont="1" applyFill="1" applyBorder="1"/>
    <xf numFmtId="0" fontId="11" fillId="0" borderId="0" xfId="0" applyFont="1"/>
    <xf numFmtId="4" fontId="11" fillId="0" borderId="0" xfId="0" applyNumberFormat="1" applyFont="1"/>
    <xf numFmtId="14" fontId="11" fillId="0" borderId="0" xfId="0" applyNumberFormat="1" applyFont="1"/>
    <xf numFmtId="14" fontId="22" fillId="0" borderId="0" xfId="0" applyNumberFormat="1" applyFont="1"/>
    <xf numFmtId="4" fontId="22" fillId="0" borderId="0" xfId="0" applyNumberFormat="1" applyFont="1"/>
    <xf numFmtId="4" fontId="46" fillId="0" borderId="0" xfId="0" applyNumberFormat="1" applyFont="1"/>
    <xf numFmtId="4" fontId="17" fillId="0" borderId="0" xfId="0" applyNumberFormat="1" applyFont="1"/>
    <xf numFmtId="4" fontId="47" fillId="0" borderId="0" xfId="0" applyNumberFormat="1" applyFont="1"/>
    <xf numFmtId="0" fontId="0" fillId="0" borderId="0" xfId="0" applyFont="1" applyFill="1" applyAlignment="1"/>
    <xf numFmtId="0" fontId="3" fillId="0" borderId="52" xfId="0" applyFont="1" applyFill="1" applyBorder="1"/>
    <xf numFmtId="43" fontId="3" fillId="0" borderId="52" xfId="3" applyFont="1" applyFill="1" applyBorder="1"/>
    <xf numFmtId="11" fontId="0" fillId="0" borderId="0" xfId="0" applyNumberFormat="1" applyFont="1" applyFill="1" applyAlignment="1"/>
    <xf numFmtId="4" fontId="48" fillId="44" borderId="0" xfId="0" applyNumberFormat="1" applyFont="1" applyFill="1"/>
    <xf numFmtId="0" fontId="0" fillId="48" borderId="0" xfId="0" applyFont="1" applyFill="1" applyAlignment="1"/>
    <xf numFmtId="0" fontId="13" fillId="0" borderId="0" xfId="0" applyFont="1"/>
    <xf numFmtId="0" fontId="13" fillId="44" borderId="0" xfId="0" applyFont="1" applyFill="1"/>
    <xf numFmtId="170" fontId="13" fillId="0" borderId="0" xfId="0" applyNumberFormat="1" applyFont="1"/>
    <xf numFmtId="9" fontId="6" fillId="0" borderId="0" xfId="1" applyFont="1"/>
    <xf numFmtId="9" fontId="13" fillId="0" borderId="0" xfId="1" applyFont="1"/>
    <xf numFmtId="165" fontId="3" fillId="0" borderId="0" xfId="0" applyNumberFormat="1" applyFont="1" applyAlignment="1"/>
    <xf numFmtId="165" fontId="0" fillId="0" borderId="0" xfId="1" applyNumberFormat="1" applyFont="1" applyAlignment="1"/>
    <xf numFmtId="0" fontId="3" fillId="44" borderId="0" xfId="0" applyFont="1" applyFill="1" applyAlignment="1">
      <alignment wrapText="1"/>
    </xf>
    <xf numFmtId="0" fontId="11" fillId="15" borderId="11" xfId="0" quotePrefix="1" applyFont="1" applyFill="1" applyBorder="1" applyAlignment="1">
      <alignment horizontal="left" vertical="top"/>
    </xf>
    <xf numFmtId="0" fontId="7" fillId="0" borderId="38" xfId="0" applyFont="1" applyBorder="1"/>
    <xf numFmtId="0" fontId="6" fillId="6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6" fillId="7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6" fillId="0" borderId="18" xfId="0" applyFont="1" applyBorder="1" applyAlignment="1">
      <alignment horizontal="left" vertical="center"/>
    </xf>
    <xf numFmtId="0" fontId="7" fillId="0" borderId="19" xfId="0" applyFont="1" applyBorder="1"/>
    <xf numFmtId="0" fontId="3" fillId="5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15" fillId="17" borderId="11" xfId="0" applyFont="1" applyFill="1" applyBorder="1" applyAlignment="1">
      <alignment horizontal="center" vertical="center"/>
    </xf>
    <xf numFmtId="0" fontId="32" fillId="31" borderId="18" xfId="0" applyFont="1" applyFill="1" applyBorder="1" applyAlignment="1">
      <alignment horizontal="center"/>
    </xf>
    <xf numFmtId="0" fontId="7" fillId="0" borderId="34" xfId="0" applyFont="1" applyBorder="1"/>
    <xf numFmtId="3" fontId="11" fillId="38" borderId="42" xfId="0" applyNumberFormat="1" applyFont="1" applyFill="1" applyBorder="1" applyAlignment="1">
      <alignment horizontal="left" vertical="center" wrapText="1"/>
    </xf>
    <xf numFmtId="0" fontId="7" fillId="0" borderId="52" xfId="0" applyFont="1" applyBorder="1"/>
    <xf numFmtId="0" fontId="27" fillId="44" borderId="0" xfId="0" applyFont="1" applyFill="1" applyAlignment="1">
      <alignment horizontal="center"/>
    </xf>
    <xf numFmtId="0" fontId="3" fillId="36" borderId="11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45" borderId="52" xfId="2" applyFill="1" applyAlignment="1">
      <alignment horizontal="center"/>
    </xf>
    <xf numFmtId="0" fontId="2" fillId="46" borderId="52" xfId="2" applyFill="1" applyAlignment="1">
      <alignment horizontal="center"/>
    </xf>
    <xf numFmtId="0" fontId="2" fillId="47" borderId="52" xfId="2" applyFill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3" fillId="20" borderId="11" xfId="0" applyFont="1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24" fillId="21" borderId="42" xfId="0" applyFont="1" applyFill="1" applyBorder="1" applyAlignment="1">
      <alignment horizontal="center" vertical="center" wrapText="1"/>
    </xf>
    <xf numFmtId="0" fontId="7" fillId="0" borderId="46" xfId="0" applyFont="1" applyBorder="1"/>
    <xf numFmtId="0" fontId="25" fillId="22" borderId="43" xfId="0" applyFont="1" applyFill="1" applyBorder="1" applyAlignment="1">
      <alignment horizontal="center" vertical="center"/>
    </xf>
    <xf numFmtId="0" fontId="7" fillId="0" borderId="44" xfId="0" applyFont="1" applyBorder="1"/>
    <xf numFmtId="0" fontId="7" fillId="0" borderId="45" xfId="0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9" xfId="0" applyFont="1" applyBorder="1"/>
    <xf numFmtId="0" fontId="7" fillId="0" borderId="50" xfId="0" applyFont="1" applyBorder="1"/>
    <xf numFmtId="0" fontId="7" fillId="0" borderId="51" xfId="0" applyFont="1" applyBorder="1"/>
    <xf numFmtId="0" fontId="3" fillId="2" borderId="11" xfId="0" applyFont="1" applyFill="1" applyBorder="1" applyAlignment="1">
      <alignment horizontal="center" wrapText="1"/>
    </xf>
    <xf numFmtId="0" fontId="3" fillId="28" borderId="11" xfId="0" applyFont="1" applyFill="1" applyBorder="1" applyAlignment="1">
      <alignment horizontal="center" wrapText="1"/>
    </xf>
    <xf numFmtId="0" fontId="23" fillId="8" borderId="11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wrapText="1"/>
    </xf>
    <xf numFmtId="0" fontId="3" fillId="25" borderId="11" xfId="0" applyFont="1" applyFill="1" applyBorder="1" applyAlignment="1">
      <alignment horizontal="center" wrapText="1"/>
    </xf>
    <xf numFmtId="0" fontId="24" fillId="23" borderId="42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6" borderId="52" xfId="2" applyFont="1" applyFill="1" applyAlignment="1">
      <alignment horizontal="center"/>
    </xf>
    <xf numFmtId="0" fontId="1" fillId="47" borderId="52" xfId="2" applyFont="1" applyFill="1" applyAlignment="1">
      <alignment horizontal="center"/>
    </xf>
    <xf numFmtId="0" fontId="6" fillId="6" borderId="52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/>
    </xf>
    <xf numFmtId="0" fontId="6" fillId="8" borderId="52" xfId="0" applyFont="1" applyFill="1" applyBorder="1" applyAlignment="1">
      <alignment horizontal="center" vertical="center"/>
    </xf>
    <xf numFmtId="165" fontId="6" fillId="0" borderId="0" xfId="1" applyNumberFormat="1" applyFont="1"/>
  </cellXfs>
  <cellStyles count="4">
    <cellStyle name="Comma" xfId="3" builtinId="3"/>
    <cellStyle name="Normal" xfId="0" builtinId="0"/>
    <cellStyle name="Normal 2" xfId="2"/>
    <cellStyle name="Percent" xfId="1" builtinId="5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bdp!$BA$33:$BA$112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-0.29430872060158453</c:v>
                </c:pt>
                <c:pt idx="79">
                  <c:v>-0.13474692108399755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9F1-9BD9-323D6E1DD95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bdp!$BB$33:$BB$112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-0.23760734957056195</c:v>
                </c:pt>
                <c:pt idx="79">
                  <c:v>-9.6704039739744063E-2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9F1-9BD9-323D6E1DD95D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bdp!$BC$33:$BC$112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-0.17736214285010088</c:v>
                </c:pt>
                <c:pt idx="79">
                  <c:v>-3.817652997935439E-2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2-49F1-9BD9-323D6E1D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2186"/>
        <c:axId val="75776578"/>
      </c:lineChart>
      <c:dateAx>
        <c:axId val="75747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75776578"/>
        <c:crosses val="autoZero"/>
        <c:auto val="1"/>
        <c:lblOffset val="100"/>
        <c:baseTimeUnit val="months"/>
      </c:dateAx>
      <c:valAx>
        <c:axId val="7577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75747218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krediti!$C$2</c:f>
              <c:strCache>
                <c:ptCount val="1"/>
                <c:pt idx="0">
                  <c:v>dkred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krediti!$A$3:$A$82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krediti!$C$3:$C$82</c:f>
              <c:numCache>
                <c:formatCode>0.0</c:formatCode>
                <c:ptCount val="80"/>
                <c:pt idx="0">
                  <c:v>15.339758068527187</c:v>
                </c:pt>
                <c:pt idx="1">
                  <c:v>19.628209963809763</c:v>
                </c:pt>
                <c:pt idx="2">
                  <c:v>23.684996858984153</c:v>
                </c:pt>
                <c:pt idx="3">
                  <c:v>23.144081180534858</c:v>
                </c:pt>
                <c:pt idx="4">
                  <c:v>23.382538845302768</c:v>
                </c:pt>
                <c:pt idx="5">
                  <c:v>25.828519614663037</c:v>
                </c:pt>
                <c:pt idx="6">
                  <c:v>27.52086417033599</c:v>
                </c:pt>
                <c:pt idx="7">
                  <c:v>30.117466156454586</c:v>
                </c:pt>
                <c:pt idx="8">
                  <c:v>28.706081426335817</c:v>
                </c:pt>
                <c:pt idx="9">
                  <c:v>22.507895967338442</c:v>
                </c:pt>
                <c:pt idx="10">
                  <c:v>17.651335654884505</c:v>
                </c:pt>
                <c:pt idx="11">
                  <c:v>14.649778309674577</c:v>
                </c:pt>
                <c:pt idx="12">
                  <c:v>10.384637360180605</c:v>
                </c:pt>
                <c:pt idx="13">
                  <c:v>12.316470325074613</c:v>
                </c:pt>
                <c:pt idx="14">
                  <c:v>12.664669131773598</c:v>
                </c:pt>
                <c:pt idx="15">
                  <c:v>14.155481335172325</c:v>
                </c:pt>
                <c:pt idx="16">
                  <c:v>13.32149727629437</c:v>
                </c:pt>
                <c:pt idx="17">
                  <c:v>14.731427300288447</c:v>
                </c:pt>
                <c:pt idx="18">
                  <c:v>16.93765887210763</c:v>
                </c:pt>
                <c:pt idx="19">
                  <c:v>17.278977973044761</c:v>
                </c:pt>
                <c:pt idx="20">
                  <c:v>22.299405752243008</c:v>
                </c:pt>
                <c:pt idx="21">
                  <c:v>23.300449534493083</c:v>
                </c:pt>
                <c:pt idx="22">
                  <c:v>22.631795556214552</c:v>
                </c:pt>
                <c:pt idx="23">
                  <c:v>23.327638624370529</c:v>
                </c:pt>
                <c:pt idx="24">
                  <c:v>22.744249383353999</c:v>
                </c:pt>
                <c:pt idx="25">
                  <c:v>21.600186313204329</c:v>
                </c:pt>
                <c:pt idx="26">
                  <c:v>17.762938152163123</c:v>
                </c:pt>
                <c:pt idx="27">
                  <c:v>15.363870394136892</c:v>
                </c:pt>
                <c:pt idx="28">
                  <c:v>13.390549315164208</c:v>
                </c:pt>
                <c:pt idx="29">
                  <c:v>10.872020773374217</c:v>
                </c:pt>
                <c:pt idx="30">
                  <c:v>12.041973135024406</c:v>
                </c:pt>
                <c:pt idx="31">
                  <c:v>8.7039305515353931</c:v>
                </c:pt>
                <c:pt idx="32">
                  <c:v>6.5478294595665005</c:v>
                </c:pt>
                <c:pt idx="33">
                  <c:v>3.4683884842165185</c:v>
                </c:pt>
                <c:pt idx="34">
                  <c:v>-0.28058039842994731</c:v>
                </c:pt>
                <c:pt idx="35">
                  <c:v>-0.33655687572895943</c:v>
                </c:pt>
                <c:pt idx="36">
                  <c:v>0.63999509884550321</c:v>
                </c:pt>
                <c:pt idx="37">
                  <c:v>2.0169068936327363</c:v>
                </c:pt>
                <c:pt idx="38">
                  <c:v>3.4382928180565813</c:v>
                </c:pt>
                <c:pt idx="39">
                  <c:v>2.263464407623573</c:v>
                </c:pt>
                <c:pt idx="40">
                  <c:v>2.0821402429715334</c:v>
                </c:pt>
                <c:pt idx="41">
                  <c:v>1.8813782447935523</c:v>
                </c:pt>
                <c:pt idx="42">
                  <c:v>1.9485258562609289</c:v>
                </c:pt>
                <c:pt idx="43">
                  <c:v>3.4904656111675081</c:v>
                </c:pt>
                <c:pt idx="44">
                  <c:v>3.5858524652855976</c:v>
                </c:pt>
                <c:pt idx="45">
                  <c:v>2.1212537292004043</c:v>
                </c:pt>
                <c:pt idx="46">
                  <c:v>0.92266626850106093</c:v>
                </c:pt>
                <c:pt idx="47">
                  <c:v>-1.1882587997532141</c:v>
                </c:pt>
                <c:pt idx="48">
                  <c:v>-1.5941280272353424</c:v>
                </c:pt>
                <c:pt idx="49">
                  <c:v>-0.13619033831960792</c:v>
                </c:pt>
                <c:pt idx="50">
                  <c:v>-0.33567215663687477</c:v>
                </c:pt>
                <c:pt idx="51">
                  <c:v>0.80127183753349129</c:v>
                </c:pt>
                <c:pt idx="52">
                  <c:v>0.3024998421784062</c:v>
                </c:pt>
                <c:pt idx="53">
                  <c:v>-0.99523758808408047</c:v>
                </c:pt>
                <c:pt idx="54">
                  <c:v>-0.89402284902550377</c:v>
                </c:pt>
                <c:pt idx="55">
                  <c:v>-1.49794183246469</c:v>
                </c:pt>
                <c:pt idx="56">
                  <c:v>-1.6046080166230041</c:v>
                </c:pt>
                <c:pt idx="57">
                  <c:v>-1.9168879288737202</c:v>
                </c:pt>
                <c:pt idx="58">
                  <c:v>-1.9763381704152465</c:v>
                </c:pt>
                <c:pt idx="59">
                  <c:v>-2.2821843390586309</c:v>
                </c:pt>
                <c:pt idx="60">
                  <c:v>-0.87373908172831705</c:v>
                </c:pt>
                <c:pt idx="61">
                  <c:v>-0.19383711145928828</c:v>
                </c:pt>
                <c:pt idx="62">
                  <c:v>0.43816731632175276</c:v>
                </c:pt>
                <c:pt idx="63">
                  <c:v>1.1071854037444098</c:v>
                </c:pt>
                <c:pt idx="64">
                  <c:v>0.83939530992257971</c:v>
                </c:pt>
                <c:pt idx="65">
                  <c:v>1.7238004938552933</c:v>
                </c:pt>
                <c:pt idx="66">
                  <c:v>1.8781511318490089</c:v>
                </c:pt>
                <c:pt idx="67">
                  <c:v>2.8526205813892602</c:v>
                </c:pt>
                <c:pt idx="68">
                  <c:v>3.0508764767163967</c:v>
                </c:pt>
                <c:pt idx="69">
                  <c:v>4.1054483670102542</c:v>
                </c:pt>
                <c:pt idx="70">
                  <c:v>4.5564374132871279</c:v>
                </c:pt>
                <c:pt idx="71">
                  <c:v>4.3974496686121682</c:v>
                </c:pt>
                <c:pt idx="72">
                  <c:v>4.5609377229903316</c:v>
                </c:pt>
                <c:pt idx="73">
                  <c:v>3.5782051666062098</c:v>
                </c:pt>
                <c:pt idx="74">
                  <c:v>2.9502087381398918</c:v>
                </c:pt>
                <c:pt idx="75">
                  <c:v>4.1832089500657466</c:v>
                </c:pt>
                <c:pt idx="76" formatCode="_-* #,##0.0\ _k_n_-;\-* #,##0.0\ _k_n_-;_-* &quot;-&quot;??\ _k_n_-;_-@">
                  <c:v>4.4696295473713405</c:v>
                </c:pt>
                <c:pt idx="77" formatCode="_-* #,##0.0\ _k_n_-;\-* #,##0.0\ _k_n_-;_-* &quot;-&quot;??\ _k_n_-;_-@">
                  <c:v>-8.4324318235811742</c:v>
                </c:pt>
                <c:pt idx="78" formatCode="_-* #,##0.0\ _k_n_-;\-* #,##0.0\ _k_n_-;_-* &quot;-&quot;??\ _k_n_-;_-@">
                  <c:v>-19.292988615415283</c:v>
                </c:pt>
                <c:pt idx="79" formatCode="_-* #,##0.0\ _k_n_-;\-* #,##0.0\ _k_n_-;_-* &quot;-&quot;??\ _k_n_-;_-@">
                  <c:v>-23.498434549745493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D-4E90-B197-AEBE793F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31290"/>
        <c:axId val="1683295761"/>
      </c:lineChart>
      <c:dateAx>
        <c:axId val="21043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683295761"/>
        <c:crosses val="autoZero"/>
        <c:auto val="1"/>
        <c:lblOffset val="100"/>
        <c:baseTimeUnit val="months"/>
      </c:dateAx>
      <c:valAx>
        <c:axId val="168329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21043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9.8105671573661998E-2"/>
          <c:y val="0.34126163391933817"/>
          <c:w val="0.88042358231791074"/>
          <c:h val="0.56480116820971316"/>
        </c:manualLayout>
      </c:layout>
      <c:lineChart>
        <c:grouping val="standard"/>
        <c:varyColors val="1"/>
        <c:ser>
          <c:idx val="0"/>
          <c:order val="0"/>
          <c:tx>
            <c:strRef>
              <c:f>inflacija!$D$98</c:f>
              <c:strCache>
                <c:ptCount val="1"/>
                <c:pt idx="0">
                  <c:v>All-items HICP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inflacija!$E$98:$FG$98</c:f>
              <c:numCache>
                <c:formatCode>#,##0.0</c:formatCode>
                <c:ptCount val="159"/>
                <c:pt idx="0">
                  <c:v>1.9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1.4</c:v>
                </c:pt>
                <c:pt idx="6">
                  <c:v>1.7</c:v>
                </c:pt>
                <c:pt idx="7">
                  <c:v>2.2000000000000002</c:v>
                </c:pt>
                <c:pt idx="8">
                  <c:v>3.4</c:v>
                </c:pt>
                <c:pt idx="9">
                  <c:v>3.9</c:v>
                </c:pt>
                <c:pt idx="10">
                  <c:v>4.5</c:v>
                </c:pt>
                <c:pt idx="11">
                  <c:v>5.4</c:v>
                </c:pt>
                <c:pt idx="12">
                  <c:v>5.8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6.1</c:v>
                </c:pt>
                <c:pt idx="17">
                  <c:v>7.3</c:v>
                </c:pt>
                <c:pt idx="18">
                  <c:v>8</c:v>
                </c:pt>
                <c:pt idx="19">
                  <c:v>7.1</c:v>
                </c:pt>
                <c:pt idx="20">
                  <c:v>6.2</c:v>
                </c:pt>
                <c:pt idx="21">
                  <c:v>5.7</c:v>
                </c:pt>
                <c:pt idx="22">
                  <c:v>4.5</c:v>
                </c:pt>
                <c:pt idx="23">
                  <c:v>2.8</c:v>
                </c:pt>
                <c:pt idx="24">
                  <c:v>3.2</c:v>
                </c:pt>
                <c:pt idx="25">
                  <c:v>3.8</c:v>
                </c:pt>
                <c:pt idx="26">
                  <c:v>3.4</c:v>
                </c:pt>
                <c:pt idx="27">
                  <c:v>3.5</c:v>
                </c:pt>
                <c:pt idx="28">
                  <c:v>2.5</c:v>
                </c:pt>
                <c:pt idx="29">
                  <c:v>1.9</c:v>
                </c:pt>
                <c:pt idx="30">
                  <c:v>1.2</c:v>
                </c:pt>
                <c:pt idx="31">
                  <c:v>1.5</c:v>
                </c:pt>
                <c:pt idx="32">
                  <c:v>0.9</c:v>
                </c:pt>
                <c:pt idx="33">
                  <c:v>1.2</c:v>
                </c:pt>
                <c:pt idx="34">
                  <c:v>1.8</c:v>
                </c:pt>
                <c:pt idx="35">
                  <c:v>1.8</c:v>
                </c:pt>
                <c:pt idx="36">
                  <c:v>1.3</c:v>
                </c:pt>
                <c:pt idx="37">
                  <c:v>0.9</c:v>
                </c:pt>
                <c:pt idx="38">
                  <c:v>1.1000000000000001</c:v>
                </c:pt>
                <c:pt idx="39">
                  <c:v>0.8</c:v>
                </c:pt>
                <c:pt idx="40">
                  <c:v>0.9</c:v>
                </c:pt>
                <c:pt idx="41">
                  <c:v>0.6</c:v>
                </c:pt>
                <c:pt idx="42">
                  <c:v>0.9</c:v>
                </c:pt>
                <c:pt idx="43">
                  <c:v>0.8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1.7</c:v>
                </c:pt>
                <c:pt idx="48">
                  <c:v>1.8</c:v>
                </c:pt>
                <c:pt idx="49">
                  <c:v>2.2000000000000002</c:v>
                </c:pt>
                <c:pt idx="50">
                  <c:v>2.5</c:v>
                </c:pt>
                <c:pt idx="51">
                  <c:v>2.2999999999999998</c:v>
                </c:pt>
                <c:pt idx="52">
                  <c:v>2.5</c:v>
                </c:pt>
                <c:pt idx="53">
                  <c:v>2</c:v>
                </c:pt>
                <c:pt idx="54">
                  <c:v>1.9</c:v>
                </c:pt>
                <c:pt idx="55">
                  <c:v>2.1</c:v>
                </c:pt>
                <c:pt idx="56">
                  <c:v>2.1</c:v>
                </c:pt>
                <c:pt idx="57">
                  <c:v>2.5</c:v>
                </c:pt>
                <c:pt idx="58">
                  <c:v>2.5</c:v>
                </c:pt>
                <c:pt idx="59">
                  <c:v>2.1</c:v>
                </c:pt>
                <c:pt idx="60">
                  <c:v>1.4</c:v>
                </c:pt>
                <c:pt idx="61">
                  <c:v>1.6</c:v>
                </c:pt>
                <c:pt idx="62">
                  <c:v>2.1</c:v>
                </c:pt>
                <c:pt idx="63">
                  <c:v>2.6</c:v>
                </c:pt>
                <c:pt idx="64">
                  <c:v>3.5</c:v>
                </c:pt>
                <c:pt idx="65">
                  <c:v>3.6</c:v>
                </c:pt>
                <c:pt idx="66">
                  <c:v>3.4</c:v>
                </c:pt>
                <c:pt idx="67">
                  <c:v>4.0999999999999996</c:v>
                </c:pt>
                <c:pt idx="68">
                  <c:v>4.8</c:v>
                </c:pt>
                <c:pt idx="69">
                  <c:v>4.5999999999999996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4.4000000000000004</c:v>
                </c:pt>
                <c:pt idx="74">
                  <c:v>3.4</c:v>
                </c:pt>
                <c:pt idx="75">
                  <c:v>3.1</c:v>
                </c:pt>
                <c:pt idx="76">
                  <c:v>1.8</c:v>
                </c:pt>
                <c:pt idx="77">
                  <c:v>2.2000000000000002</c:v>
                </c:pt>
                <c:pt idx="78">
                  <c:v>2.7</c:v>
                </c:pt>
                <c:pt idx="79">
                  <c:v>2.4</c:v>
                </c:pt>
                <c:pt idx="80">
                  <c:v>1.7</c:v>
                </c:pt>
                <c:pt idx="81">
                  <c:v>0.8</c:v>
                </c:pt>
                <c:pt idx="82">
                  <c:v>0.7</c:v>
                </c:pt>
                <c:pt idx="83">
                  <c:v>0.5</c:v>
                </c:pt>
                <c:pt idx="84">
                  <c:v>0.4</c:v>
                </c:pt>
                <c:pt idx="85">
                  <c:v>-0.2</c:v>
                </c:pt>
                <c:pt idx="86">
                  <c:v>-0.1</c:v>
                </c:pt>
                <c:pt idx="87">
                  <c:v>-0.1</c:v>
                </c:pt>
                <c:pt idx="88">
                  <c:v>0.4</c:v>
                </c:pt>
                <c:pt idx="89">
                  <c:v>0.5</c:v>
                </c:pt>
                <c:pt idx="90">
                  <c:v>0.5</c:v>
                </c:pt>
                <c:pt idx="91">
                  <c:v>0.3</c:v>
                </c:pt>
                <c:pt idx="92">
                  <c:v>0.2</c:v>
                </c:pt>
                <c:pt idx="93">
                  <c:v>0.5</c:v>
                </c:pt>
                <c:pt idx="94">
                  <c:v>0.3</c:v>
                </c:pt>
                <c:pt idx="95">
                  <c:v>-0.1</c:v>
                </c:pt>
                <c:pt idx="96">
                  <c:v>-0.6</c:v>
                </c:pt>
                <c:pt idx="97">
                  <c:v>-0.4</c:v>
                </c:pt>
                <c:pt idx="98">
                  <c:v>0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-0.2</c:v>
                </c:pt>
                <c:pt idx="103">
                  <c:v>-0.1</c:v>
                </c:pt>
                <c:pt idx="104">
                  <c:v>-0.5</c:v>
                </c:pt>
                <c:pt idx="105">
                  <c:v>-0.5</c:v>
                </c:pt>
                <c:pt idx="106">
                  <c:v>-0.4</c:v>
                </c:pt>
                <c:pt idx="107">
                  <c:v>-0.3</c:v>
                </c:pt>
                <c:pt idx="108">
                  <c:v>-0.2</c:v>
                </c:pt>
                <c:pt idx="109">
                  <c:v>-0.6</c:v>
                </c:pt>
                <c:pt idx="110">
                  <c:v>-0.9</c:v>
                </c:pt>
                <c:pt idx="111">
                  <c:v>-0.9</c:v>
                </c:pt>
                <c:pt idx="112">
                  <c:v>-1.2</c:v>
                </c:pt>
                <c:pt idx="113">
                  <c:v>-1.2</c:v>
                </c:pt>
                <c:pt idx="114">
                  <c:v>-1.1000000000000001</c:v>
                </c:pt>
                <c:pt idx="115">
                  <c:v>-1.5</c:v>
                </c:pt>
                <c:pt idx="116">
                  <c:v>-0.7</c:v>
                </c:pt>
                <c:pt idx="117">
                  <c:v>-0.3</c:v>
                </c:pt>
                <c:pt idx="118">
                  <c:v>0.2</c:v>
                </c:pt>
                <c:pt idx="119">
                  <c:v>0.7</c:v>
                </c:pt>
                <c:pt idx="120">
                  <c:v>0.9</c:v>
                </c:pt>
                <c:pt idx="121">
                  <c:v>1.4</c:v>
                </c:pt>
                <c:pt idx="122">
                  <c:v>1.1000000000000001</c:v>
                </c:pt>
                <c:pt idx="123">
                  <c:v>1.4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1.2</c:v>
                </c:pt>
                <c:pt idx="127">
                  <c:v>1.5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1.3</c:v>
                </c:pt>
                <c:pt idx="132">
                  <c:v>1.2</c:v>
                </c:pt>
                <c:pt idx="133">
                  <c:v>0.9</c:v>
                </c:pt>
                <c:pt idx="134">
                  <c:v>1.2</c:v>
                </c:pt>
                <c:pt idx="135">
                  <c:v>1.4</c:v>
                </c:pt>
                <c:pt idx="136">
                  <c:v>1.8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2.1</c:v>
                </c:pt>
                <c:pt idx="140">
                  <c:v>1.6</c:v>
                </c:pt>
                <c:pt idx="141">
                  <c:v>1.7</c:v>
                </c:pt>
                <c:pt idx="142">
                  <c:v>1.3</c:v>
                </c:pt>
                <c:pt idx="143">
                  <c:v>1</c:v>
                </c:pt>
                <c:pt idx="144">
                  <c:v>0.6</c:v>
                </c:pt>
                <c:pt idx="145">
                  <c:v>0.8</c:v>
                </c:pt>
                <c:pt idx="146">
                  <c:v>1.1000000000000001</c:v>
                </c:pt>
                <c:pt idx="147">
                  <c:v>0.8</c:v>
                </c:pt>
                <c:pt idx="148">
                  <c:v>1</c:v>
                </c:pt>
                <c:pt idx="149">
                  <c:v>0.5</c:v>
                </c:pt>
                <c:pt idx="150">
                  <c:v>0.9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1.3</c:v>
                </c:pt>
                <c:pt idx="156">
                  <c:v>1.8</c:v>
                </c:pt>
                <c:pt idx="157">
                  <c:v>1.2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8F7-A0CF-B1624207C982}"/>
            </c:ext>
          </c:extLst>
        </c:ser>
        <c:ser>
          <c:idx val="1"/>
          <c:order val="1"/>
          <c:tx>
            <c:strRef>
              <c:f>inflacija!$D$99</c:f>
              <c:strCache>
                <c:ptCount val="1"/>
                <c:pt idx="0">
                  <c:v>Food and non-alcoholic beverages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inflacija!$E$99:$FG$99</c:f>
              <c:numCache>
                <c:formatCode>#,##0.0</c:formatCode>
                <c:ptCount val="159"/>
                <c:pt idx="0">
                  <c:v>1.2</c:v>
                </c:pt>
                <c:pt idx="1">
                  <c:v>0.2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0.2</c:v>
                </c:pt>
                <c:pt idx="5">
                  <c:v>-1</c:v>
                </c:pt>
                <c:pt idx="6">
                  <c:v>0.3</c:v>
                </c:pt>
                <c:pt idx="7">
                  <c:v>2.2000000000000002</c:v>
                </c:pt>
                <c:pt idx="8">
                  <c:v>5.5</c:v>
                </c:pt>
                <c:pt idx="9">
                  <c:v>6.6</c:v>
                </c:pt>
                <c:pt idx="10">
                  <c:v>7.4</c:v>
                </c:pt>
                <c:pt idx="11">
                  <c:v>10.1</c:v>
                </c:pt>
                <c:pt idx="12">
                  <c:v>10.4</c:v>
                </c:pt>
                <c:pt idx="13">
                  <c:v>9.1999999999999993</c:v>
                </c:pt>
                <c:pt idx="14">
                  <c:v>8.6</c:v>
                </c:pt>
                <c:pt idx="15">
                  <c:v>8.9</c:v>
                </c:pt>
                <c:pt idx="16">
                  <c:v>10.3</c:v>
                </c:pt>
                <c:pt idx="17">
                  <c:v>12.7</c:v>
                </c:pt>
                <c:pt idx="18">
                  <c:v>13.4</c:v>
                </c:pt>
                <c:pt idx="19">
                  <c:v>12</c:v>
                </c:pt>
                <c:pt idx="20">
                  <c:v>9.4</c:v>
                </c:pt>
                <c:pt idx="21">
                  <c:v>9</c:v>
                </c:pt>
                <c:pt idx="22">
                  <c:v>6.9</c:v>
                </c:pt>
                <c:pt idx="23">
                  <c:v>5</c:v>
                </c:pt>
                <c:pt idx="24">
                  <c:v>4.7</c:v>
                </c:pt>
                <c:pt idx="25">
                  <c:v>6.2</c:v>
                </c:pt>
                <c:pt idx="26">
                  <c:v>6.3</c:v>
                </c:pt>
                <c:pt idx="27">
                  <c:v>4.5999999999999996</c:v>
                </c:pt>
                <c:pt idx="28">
                  <c:v>2.9</c:v>
                </c:pt>
                <c:pt idx="29">
                  <c:v>1.5</c:v>
                </c:pt>
                <c:pt idx="30">
                  <c:v>0.5</c:v>
                </c:pt>
                <c:pt idx="31">
                  <c:v>-0.3</c:v>
                </c:pt>
                <c:pt idx="32">
                  <c:v>-0.9</c:v>
                </c:pt>
                <c:pt idx="33">
                  <c:v>-1.6</c:v>
                </c:pt>
                <c:pt idx="34">
                  <c:v>-1.1000000000000001</c:v>
                </c:pt>
                <c:pt idx="35">
                  <c:v>-2</c:v>
                </c:pt>
                <c:pt idx="36">
                  <c:v>-2.6</c:v>
                </c:pt>
                <c:pt idx="37">
                  <c:v>-3.3</c:v>
                </c:pt>
                <c:pt idx="38">
                  <c:v>-3.4</c:v>
                </c:pt>
                <c:pt idx="39">
                  <c:v>-2.9</c:v>
                </c:pt>
                <c:pt idx="40">
                  <c:v>-2.8</c:v>
                </c:pt>
                <c:pt idx="41">
                  <c:v>-2.6</c:v>
                </c:pt>
                <c:pt idx="42">
                  <c:v>-1.1000000000000001</c:v>
                </c:pt>
                <c:pt idx="43">
                  <c:v>-0.8</c:v>
                </c:pt>
                <c:pt idx="44">
                  <c:v>0.1</c:v>
                </c:pt>
                <c:pt idx="45">
                  <c:v>0.2</c:v>
                </c:pt>
                <c:pt idx="46">
                  <c:v>-0.1</c:v>
                </c:pt>
                <c:pt idx="47">
                  <c:v>0.9</c:v>
                </c:pt>
                <c:pt idx="48">
                  <c:v>2.2999999999999998</c:v>
                </c:pt>
                <c:pt idx="49">
                  <c:v>3.7</c:v>
                </c:pt>
                <c:pt idx="50">
                  <c:v>4.4000000000000004</c:v>
                </c:pt>
                <c:pt idx="51">
                  <c:v>3.4</c:v>
                </c:pt>
                <c:pt idx="52">
                  <c:v>4.5999999999999996</c:v>
                </c:pt>
                <c:pt idx="53">
                  <c:v>3.3</c:v>
                </c:pt>
                <c:pt idx="54">
                  <c:v>2.8</c:v>
                </c:pt>
                <c:pt idx="55">
                  <c:v>2.9</c:v>
                </c:pt>
                <c:pt idx="56">
                  <c:v>2.9</c:v>
                </c:pt>
                <c:pt idx="57">
                  <c:v>3.8</c:v>
                </c:pt>
                <c:pt idx="58">
                  <c:v>4.4000000000000004</c:v>
                </c:pt>
                <c:pt idx="59">
                  <c:v>3.7</c:v>
                </c:pt>
                <c:pt idx="60">
                  <c:v>2.1</c:v>
                </c:pt>
                <c:pt idx="61">
                  <c:v>2.4</c:v>
                </c:pt>
                <c:pt idx="62">
                  <c:v>1.7</c:v>
                </c:pt>
                <c:pt idx="63">
                  <c:v>2.8</c:v>
                </c:pt>
                <c:pt idx="64">
                  <c:v>2</c:v>
                </c:pt>
                <c:pt idx="65">
                  <c:v>3</c:v>
                </c:pt>
                <c:pt idx="66">
                  <c:v>3.8</c:v>
                </c:pt>
                <c:pt idx="67">
                  <c:v>4.8</c:v>
                </c:pt>
                <c:pt idx="68">
                  <c:v>5.7</c:v>
                </c:pt>
                <c:pt idx="69">
                  <c:v>5</c:v>
                </c:pt>
                <c:pt idx="70">
                  <c:v>4.4000000000000004</c:v>
                </c:pt>
                <c:pt idx="71">
                  <c:v>5.6</c:v>
                </c:pt>
                <c:pt idx="72">
                  <c:v>6.3</c:v>
                </c:pt>
                <c:pt idx="73">
                  <c:v>5.2</c:v>
                </c:pt>
                <c:pt idx="74">
                  <c:v>4.5999999999999996</c:v>
                </c:pt>
                <c:pt idx="75">
                  <c:v>5.3</c:v>
                </c:pt>
                <c:pt idx="76">
                  <c:v>6.5</c:v>
                </c:pt>
                <c:pt idx="77">
                  <c:v>6.5</c:v>
                </c:pt>
                <c:pt idx="78">
                  <c:v>4.8</c:v>
                </c:pt>
                <c:pt idx="79">
                  <c:v>4.2</c:v>
                </c:pt>
                <c:pt idx="80">
                  <c:v>2.8</c:v>
                </c:pt>
                <c:pt idx="81">
                  <c:v>1.6</c:v>
                </c:pt>
                <c:pt idx="82">
                  <c:v>1</c:v>
                </c:pt>
                <c:pt idx="83">
                  <c:v>-0.2</c:v>
                </c:pt>
                <c:pt idx="84">
                  <c:v>-0.7</c:v>
                </c:pt>
                <c:pt idx="85">
                  <c:v>-1.4</c:v>
                </c:pt>
                <c:pt idx="86">
                  <c:v>-1.3</c:v>
                </c:pt>
                <c:pt idx="87">
                  <c:v>-2.5</c:v>
                </c:pt>
                <c:pt idx="88">
                  <c:v>-4.0999999999999996</c:v>
                </c:pt>
                <c:pt idx="89">
                  <c:v>-4.4000000000000004</c:v>
                </c:pt>
                <c:pt idx="90">
                  <c:v>-3.2</c:v>
                </c:pt>
                <c:pt idx="91">
                  <c:v>-3.4</c:v>
                </c:pt>
                <c:pt idx="92">
                  <c:v>-2.7</c:v>
                </c:pt>
                <c:pt idx="93">
                  <c:v>-2.2000000000000002</c:v>
                </c:pt>
                <c:pt idx="94">
                  <c:v>-1.4</c:v>
                </c:pt>
                <c:pt idx="95">
                  <c:v>-1.9</c:v>
                </c:pt>
                <c:pt idx="96">
                  <c:v>-0.8</c:v>
                </c:pt>
                <c:pt idx="97">
                  <c:v>0.2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0.7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0.7</c:v>
                </c:pt>
                <c:pt idx="106">
                  <c:v>0.4</c:v>
                </c:pt>
                <c:pt idx="107">
                  <c:v>0.2</c:v>
                </c:pt>
                <c:pt idx="108">
                  <c:v>-0.4</c:v>
                </c:pt>
                <c:pt idx="109">
                  <c:v>-1.3</c:v>
                </c:pt>
                <c:pt idx="110">
                  <c:v>-2</c:v>
                </c:pt>
                <c:pt idx="111">
                  <c:v>-1.5</c:v>
                </c:pt>
                <c:pt idx="112">
                  <c:v>-0.1</c:v>
                </c:pt>
                <c:pt idx="113">
                  <c:v>-0.1</c:v>
                </c:pt>
                <c:pt idx="114">
                  <c:v>0.3</c:v>
                </c:pt>
                <c:pt idx="115">
                  <c:v>-0.7</c:v>
                </c:pt>
                <c:pt idx="116">
                  <c:v>-0.3</c:v>
                </c:pt>
                <c:pt idx="117">
                  <c:v>-0.2</c:v>
                </c:pt>
                <c:pt idx="118">
                  <c:v>0.2</c:v>
                </c:pt>
                <c:pt idx="119">
                  <c:v>0.9</c:v>
                </c:pt>
                <c:pt idx="120">
                  <c:v>2.4</c:v>
                </c:pt>
                <c:pt idx="121">
                  <c:v>3.2</c:v>
                </c:pt>
                <c:pt idx="122">
                  <c:v>3.3</c:v>
                </c:pt>
                <c:pt idx="123">
                  <c:v>3.5</c:v>
                </c:pt>
                <c:pt idx="124">
                  <c:v>2.4</c:v>
                </c:pt>
                <c:pt idx="125">
                  <c:v>2.1</c:v>
                </c:pt>
                <c:pt idx="126">
                  <c:v>2.6</c:v>
                </c:pt>
                <c:pt idx="127">
                  <c:v>3.2</c:v>
                </c:pt>
                <c:pt idx="128">
                  <c:v>3.6</c:v>
                </c:pt>
                <c:pt idx="129">
                  <c:v>3.3</c:v>
                </c:pt>
                <c:pt idx="130">
                  <c:v>2.9</c:v>
                </c:pt>
                <c:pt idx="131">
                  <c:v>2</c:v>
                </c:pt>
                <c:pt idx="132">
                  <c:v>0.8</c:v>
                </c:pt>
                <c:pt idx="133">
                  <c:v>0.3</c:v>
                </c:pt>
                <c:pt idx="134">
                  <c:v>0.9</c:v>
                </c:pt>
                <c:pt idx="135">
                  <c:v>1</c:v>
                </c:pt>
                <c:pt idx="136">
                  <c:v>1.2</c:v>
                </c:pt>
                <c:pt idx="137">
                  <c:v>2</c:v>
                </c:pt>
                <c:pt idx="138">
                  <c:v>1.5</c:v>
                </c:pt>
                <c:pt idx="139">
                  <c:v>1.2</c:v>
                </c:pt>
                <c:pt idx="140">
                  <c:v>0.2</c:v>
                </c:pt>
                <c:pt idx="141">
                  <c:v>0.4</c:v>
                </c:pt>
                <c:pt idx="142">
                  <c:v>0.3</c:v>
                </c:pt>
                <c:pt idx="143">
                  <c:v>0.4</c:v>
                </c:pt>
                <c:pt idx="144">
                  <c:v>-0.6</c:v>
                </c:pt>
                <c:pt idx="145">
                  <c:v>-0.6</c:v>
                </c:pt>
                <c:pt idx="146">
                  <c:v>-0.3</c:v>
                </c:pt>
                <c:pt idx="147">
                  <c:v>-1.6</c:v>
                </c:pt>
                <c:pt idx="148">
                  <c:v>-0.6</c:v>
                </c:pt>
                <c:pt idx="149">
                  <c:v>-0.3</c:v>
                </c:pt>
                <c:pt idx="150">
                  <c:v>0.3</c:v>
                </c:pt>
                <c:pt idx="151">
                  <c:v>0.3</c:v>
                </c:pt>
                <c:pt idx="152">
                  <c:v>0.4</c:v>
                </c:pt>
                <c:pt idx="153">
                  <c:v>0.2</c:v>
                </c:pt>
                <c:pt idx="154">
                  <c:v>0.3</c:v>
                </c:pt>
                <c:pt idx="155">
                  <c:v>1.9</c:v>
                </c:pt>
                <c:pt idx="156">
                  <c:v>2.8</c:v>
                </c:pt>
                <c:pt idx="157">
                  <c:v>2.4</c:v>
                </c:pt>
                <c:pt idx="15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E-48F7-A0CF-B1624207C982}"/>
            </c:ext>
          </c:extLst>
        </c:ser>
        <c:ser>
          <c:idx val="2"/>
          <c:order val="2"/>
          <c:tx>
            <c:strRef>
              <c:f>inflacija!$D$100</c:f>
              <c:strCache>
                <c:ptCount val="1"/>
                <c:pt idx="0">
                  <c:v>Alcoholic beverages, tobacco and narcotics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inflacija!$E$100:$FG$100</c:f>
              <c:numCache>
                <c:formatCode>#,##0.0</c:formatCode>
                <c:ptCount val="159"/>
                <c:pt idx="0">
                  <c:v>2.1</c:v>
                </c:pt>
                <c:pt idx="1">
                  <c:v>1.5</c:v>
                </c:pt>
                <c:pt idx="2">
                  <c:v>1.6</c:v>
                </c:pt>
                <c:pt idx="3">
                  <c:v>1.4</c:v>
                </c:pt>
                <c:pt idx="4">
                  <c:v>2.7</c:v>
                </c:pt>
                <c:pt idx="5">
                  <c:v>2.7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5.9</c:v>
                </c:pt>
                <c:pt idx="12">
                  <c:v>6.1</c:v>
                </c:pt>
                <c:pt idx="13">
                  <c:v>6</c:v>
                </c:pt>
                <c:pt idx="14">
                  <c:v>6.1</c:v>
                </c:pt>
                <c:pt idx="15">
                  <c:v>6.8</c:v>
                </c:pt>
                <c:pt idx="16">
                  <c:v>5.4</c:v>
                </c:pt>
                <c:pt idx="17">
                  <c:v>5.3</c:v>
                </c:pt>
                <c:pt idx="18">
                  <c:v>4.3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4.3</c:v>
                </c:pt>
                <c:pt idx="23">
                  <c:v>2.2000000000000002</c:v>
                </c:pt>
                <c:pt idx="24">
                  <c:v>6.8</c:v>
                </c:pt>
                <c:pt idx="25">
                  <c:v>7.1</c:v>
                </c:pt>
                <c:pt idx="26">
                  <c:v>6.9</c:v>
                </c:pt>
                <c:pt idx="27">
                  <c:v>14.5</c:v>
                </c:pt>
                <c:pt idx="28">
                  <c:v>14.2</c:v>
                </c:pt>
                <c:pt idx="29">
                  <c:v>14.1</c:v>
                </c:pt>
                <c:pt idx="30">
                  <c:v>14.2</c:v>
                </c:pt>
                <c:pt idx="31">
                  <c:v>13.9</c:v>
                </c:pt>
                <c:pt idx="32">
                  <c:v>12.4</c:v>
                </c:pt>
                <c:pt idx="33">
                  <c:v>12.5</c:v>
                </c:pt>
                <c:pt idx="34">
                  <c:v>12.5</c:v>
                </c:pt>
                <c:pt idx="35">
                  <c:v>12.6</c:v>
                </c:pt>
                <c:pt idx="36">
                  <c:v>7.7</c:v>
                </c:pt>
                <c:pt idx="37">
                  <c:v>7.5</c:v>
                </c:pt>
                <c:pt idx="38">
                  <c:v>7.5</c:v>
                </c:pt>
                <c:pt idx="39">
                  <c:v>-0.3</c:v>
                </c:pt>
                <c:pt idx="40">
                  <c:v>-0.1</c:v>
                </c:pt>
                <c:pt idx="41">
                  <c:v>0.1</c:v>
                </c:pt>
                <c:pt idx="42">
                  <c:v>-0.1</c:v>
                </c:pt>
                <c:pt idx="43">
                  <c:v>-0.3</c:v>
                </c:pt>
                <c:pt idx="44">
                  <c:v>1</c:v>
                </c:pt>
                <c:pt idx="45">
                  <c:v>0.8</c:v>
                </c:pt>
                <c:pt idx="46">
                  <c:v>3.8</c:v>
                </c:pt>
                <c:pt idx="47">
                  <c:v>3.6</c:v>
                </c:pt>
                <c:pt idx="48">
                  <c:v>5.8</c:v>
                </c:pt>
                <c:pt idx="49">
                  <c:v>5.5</c:v>
                </c:pt>
                <c:pt idx="50">
                  <c:v>6.6</c:v>
                </c:pt>
                <c:pt idx="51">
                  <c:v>6.5</c:v>
                </c:pt>
                <c:pt idx="52">
                  <c:v>6.2</c:v>
                </c:pt>
                <c:pt idx="53">
                  <c:v>6.1</c:v>
                </c:pt>
                <c:pt idx="54">
                  <c:v>7.2</c:v>
                </c:pt>
                <c:pt idx="55">
                  <c:v>7.2</c:v>
                </c:pt>
                <c:pt idx="56">
                  <c:v>7.1</c:v>
                </c:pt>
                <c:pt idx="57">
                  <c:v>7.5</c:v>
                </c:pt>
                <c:pt idx="58">
                  <c:v>4.9000000000000004</c:v>
                </c:pt>
                <c:pt idx="59">
                  <c:v>5</c:v>
                </c:pt>
                <c:pt idx="60">
                  <c:v>2.8</c:v>
                </c:pt>
                <c:pt idx="61">
                  <c:v>2.8</c:v>
                </c:pt>
                <c:pt idx="62">
                  <c:v>2</c:v>
                </c:pt>
                <c:pt idx="63">
                  <c:v>3.7</c:v>
                </c:pt>
                <c:pt idx="64">
                  <c:v>3.6</c:v>
                </c:pt>
                <c:pt idx="65">
                  <c:v>4.5999999999999996</c:v>
                </c:pt>
                <c:pt idx="66">
                  <c:v>3.4</c:v>
                </c:pt>
                <c:pt idx="67">
                  <c:v>4.3</c:v>
                </c:pt>
                <c:pt idx="68">
                  <c:v>5.2</c:v>
                </c:pt>
                <c:pt idx="69">
                  <c:v>5</c:v>
                </c:pt>
                <c:pt idx="70">
                  <c:v>4.7</c:v>
                </c:pt>
                <c:pt idx="71">
                  <c:v>4.8</c:v>
                </c:pt>
                <c:pt idx="72">
                  <c:v>4.7</c:v>
                </c:pt>
                <c:pt idx="73">
                  <c:v>7.7</c:v>
                </c:pt>
                <c:pt idx="74">
                  <c:v>7.5</c:v>
                </c:pt>
                <c:pt idx="75">
                  <c:v>6.9</c:v>
                </c:pt>
                <c:pt idx="76">
                  <c:v>6.8</c:v>
                </c:pt>
                <c:pt idx="77">
                  <c:v>5.9</c:v>
                </c:pt>
                <c:pt idx="78">
                  <c:v>11</c:v>
                </c:pt>
                <c:pt idx="79">
                  <c:v>10.8</c:v>
                </c:pt>
                <c:pt idx="80">
                  <c:v>10.1</c:v>
                </c:pt>
                <c:pt idx="81">
                  <c:v>10.4</c:v>
                </c:pt>
                <c:pt idx="82">
                  <c:v>10.3</c:v>
                </c:pt>
                <c:pt idx="83">
                  <c:v>9.9</c:v>
                </c:pt>
                <c:pt idx="84">
                  <c:v>10</c:v>
                </c:pt>
                <c:pt idx="85">
                  <c:v>7.1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8.4</c:v>
                </c:pt>
                <c:pt idx="89">
                  <c:v>8.1999999999999993</c:v>
                </c:pt>
                <c:pt idx="90">
                  <c:v>3.5</c:v>
                </c:pt>
                <c:pt idx="91">
                  <c:v>2.9</c:v>
                </c:pt>
                <c:pt idx="92">
                  <c:v>2.7</c:v>
                </c:pt>
                <c:pt idx="93">
                  <c:v>2.2999999999999998</c:v>
                </c:pt>
                <c:pt idx="94">
                  <c:v>2.6</c:v>
                </c:pt>
                <c:pt idx="95">
                  <c:v>3.1</c:v>
                </c:pt>
                <c:pt idx="96">
                  <c:v>2.9</c:v>
                </c:pt>
                <c:pt idx="97">
                  <c:v>3</c:v>
                </c:pt>
                <c:pt idx="98">
                  <c:v>1.7</c:v>
                </c:pt>
                <c:pt idx="99">
                  <c:v>2</c:v>
                </c:pt>
                <c:pt idx="100">
                  <c:v>1.9</c:v>
                </c:pt>
                <c:pt idx="101">
                  <c:v>1.8</c:v>
                </c:pt>
                <c:pt idx="102">
                  <c:v>1.5</c:v>
                </c:pt>
                <c:pt idx="103">
                  <c:v>1.9</c:v>
                </c:pt>
                <c:pt idx="104">
                  <c:v>1.9</c:v>
                </c:pt>
                <c:pt idx="105">
                  <c:v>1.8</c:v>
                </c:pt>
                <c:pt idx="106">
                  <c:v>1.2</c:v>
                </c:pt>
                <c:pt idx="107">
                  <c:v>0.9</c:v>
                </c:pt>
                <c:pt idx="108">
                  <c:v>0.9</c:v>
                </c:pt>
                <c:pt idx="109">
                  <c:v>1.2</c:v>
                </c:pt>
                <c:pt idx="110">
                  <c:v>1.3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0.5</c:v>
                </c:pt>
                <c:pt idx="115">
                  <c:v>0.1</c:v>
                </c:pt>
                <c:pt idx="116">
                  <c:v>0.2</c:v>
                </c:pt>
                <c:pt idx="117">
                  <c:v>0.3</c:v>
                </c:pt>
                <c:pt idx="118">
                  <c:v>0.3</c:v>
                </c:pt>
                <c:pt idx="119">
                  <c:v>2.4</c:v>
                </c:pt>
                <c:pt idx="120">
                  <c:v>2.2000000000000002</c:v>
                </c:pt>
                <c:pt idx="121">
                  <c:v>1.9</c:v>
                </c:pt>
                <c:pt idx="122">
                  <c:v>2.2000000000000002</c:v>
                </c:pt>
                <c:pt idx="123">
                  <c:v>2.4</c:v>
                </c:pt>
                <c:pt idx="124">
                  <c:v>1.8</c:v>
                </c:pt>
                <c:pt idx="125">
                  <c:v>2.2000000000000002</c:v>
                </c:pt>
                <c:pt idx="126">
                  <c:v>2.1</c:v>
                </c:pt>
                <c:pt idx="127">
                  <c:v>1.8</c:v>
                </c:pt>
                <c:pt idx="128">
                  <c:v>2</c:v>
                </c:pt>
                <c:pt idx="129">
                  <c:v>1.9</c:v>
                </c:pt>
                <c:pt idx="130">
                  <c:v>2.1</c:v>
                </c:pt>
                <c:pt idx="131">
                  <c:v>1.3</c:v>
                </c:pt>
                <c:pt idx="132">
                  <c:v>2.1</c:v>
                </c:pt>
                <c:pt idx="133">
                  <c:v>2</c:v>
                </c:pt>
                <c:pt idx="134">
                  <c:v>1.7</c:v>
                </c:pt>
                <c:pt idx="135">
                  <c:v>1.7</c:v>
                </c:pt>
                <c:pt idx="136">
                  <c:v>2.5</c:v>
                </c:pt>
                <c:pt idx="137">
                  <c:v>1.6</c:v>
                </c:pt>
                <c:pt idx="138">
                  <c:v>1.7</c:v>
                </c:pt>
                <c:pt idx="139">
                  <c:v>2.5</c:v>
                </c:pt>
                <c:pt idx="140">
                  <c:v>1.9</c:v>
                </c:pt>
                <c:pt idx="141">
                  <c:v>2.2000000000000002</c:v>
                </c:pt>
                <c:pt idx="142">
                  <c:v>2.4</c:v>
                </c:pt>
                <c:pt idx="143">
                  <c:v>3.9</c:v>
                </c:pt>
                <c:pt idx="144">
                  <c:v>3.6</c:v>
                </c:pt>
                <c:pt idx="145">
                  <c:v>3.4</c:v>
                </c:pt>
                <c:pt idx="146">
                  <c:v>3.9</c:v>
                </c:pt>
                <c:pt idx="147">
                  <c:v>3.8</c:v>
                </c:pt>
                <c:pt idx="148">
                  <c:v>3.5</c:v>
                </c:pt>
                <c:pt idx="149">
                  <c:v>3.8</c:v>
                </c:pt>
                <c:pt idx="150">
                  <c:v>4</c:v>
                </c:pt>
                <c:pt idx="151">
                  <c:v>3.6</c:v>
                </c:pt>
                <c:pt idx="152">
                  <c:v>3.7</c:v>
                </c:pt>
                <c:pt idx="153">
                  <c:v>3.7</c:v>
                </c:pt>
                <c:pt idx="154">
                  <c:v>3.9</c:v>
                </c:pt>
                <c:pt idx="155">
                  <c:v>1</c:v>
                </c:pt>
                <c:pt idx="156">
                  <c:v>0.8</c:v>
                </c:pt>
                <c:pt idx="157">
                  <c:v>1.3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8F7-A0CF-B1624207C982}"/>
            </c:ext>
          </c:extLst>
        </c:ser>
        <c:ser>
          <c:idx val="3"/>
          <c:order val="3"/>
          <c:tx>
            <c:strRef>
              <c:f>inflacija!$D$101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inflacija!$E$101:$FG$101</c:f>
              <c:numCache>
                <c:formatCode>#,##0.0</c:formatCode>
                <c:ptCount val="159"/>
                <c:pt idx="0">
                  <c:v>5</c:v>
                </c:pt>
                <c:pt idx="1">
                  <c:v>4.5999999999999996</c:v>
                </c:pt>
                <c:pt idx="2">
                  <c:v>5.0999999999999996</c:v>
                </c:pt>
                <c:pt idx="3">
                  <c:v>5.4</c:v>
                </c:pt>
                <c:pt idx="4">
                  <c:v>5.8</c:v>
                </c:pt>
                <c:pt idx="5">
                  <c:v>5.5</c:v>
                </c:pt>
                <c:pt idx="6">
                  <c:v>4.9000000000000004</c:v>
                </c:pt>
                <c:pt idx="7">
                  <c:v>5.5</c:v>
                </c:pt>
                <c:pt idx="8">
                  <c:v>4.9000000000000004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3.8</c:v>
                </c:pt>
                <c:pt idx="13">
                  <c:v>3.8</c:v>
                </c:pt>
                <c:pt idx="14">
                  <c:v>3.7</c:v>
                </c:pt>
                <c:pt idx="15">
                  <c:v>3</c:v>
                </c:pt>
                <c:pt idx="16">
                  <c:v>3.1</c:v>
                </c:pt>
                <c:pt idx="17">
                  <c:v>2.8</c:v>
                </c:pt>
                <c:pt idx="18">
                  <c:v>2.2999999999999998</c:v>
                </c:pt>
                <c:pt idx="19">
                  <c:v>2.1</c:v>
                </c:pt>
                <c:pt idx="20">
                  <c:v>3</c:v>
                </c:pt>
                <c:pt idx="21">
                  <c:v>2.4</c:v>
                </c:pt>
                <c:pt idx="22">
                  <c:v>4</c:v>
                </c:pt>
                <c:pt idx="23">
                  <c:v>-1.1000000000000001</c:v>
                </c:pt>
                <c:pt idx="24">
                  <c:v>0</c:v>
                </c:pt>
                <c:pt idx="25">
                  <c:v>0.4</c:v>
                </c:pt>
                <c:pt idx="26">
                  <c:v>1.6</c:v>
                </c:pt>
                <c:pt idx="27">
                  <c:v>2.7</c:v>
                </c:pt>
                <c:pt idx="28">
                  <c:v>2.2999999999999998</c:v>
                </c:pt>
                <c:pt idx="29">
                  <c:v>1.9</c:v>
                </c:pt>
                <c:pt idx="30">
                  <c:v>1.1000000000000001</c:v>
                </c:pt>
                <c:pt idx="31">
                  <c:v>-1.5</c:v>
                </c:pt>
                <c:pt idx="32">
                  <c:v>-2.2000000000000002</c:v>
                </c:pt>
                <c:pt idx="33">
                  <c:v>-0.3</c:v>
                </c:pt>
                <c:pt idx="34">
                  <c:v>-3.2</c:v>
                </c:pt>
                <c:pt idx="35">
                  <c:v>-4.4000000000000004</c:v>
                </c:pt>
                <c:pt idx="36">
                  <c:v>-4.9000000000000004</c:v>
                </c:pt>
                <c:pt idx="37">
                  <c:v>-3.4</c:v>
                </c:pt>
                <c:pt idx="38">
                  <c:v>-4.5999999999999996</c:v>
                </c:pt>
                <c:pt idx="39">
                  <c:v>-3.9</c:v>
                </c:pt>
                <c:pt idx="40">
                  <c:v>-4.4000000000000004</c:v>
                </c:pt>
                <c:pt idx="41">
                  <c:v>-6.2</c:v>
                </c:pt>
                <c:pt idx="42">
                  <c:v>-6.2</c:v>
                </c:pt>
                <c:pt idx="43">
                  <c:v>-5</c:v>
                </c:pt>
                <c:pt idx="44">
                  <c:v>-2.7</c:v>
                </c:pt>
                <c:pt idx="45">
                  <c:v>-4.8</c:v>
                </c:pt>
                <c:pt idx="46">
                  <c:v>-3.8</c:v>
                </c:pt>
                <c:pt idx="47">
                  <c:v>-2.1</c:v>
                </c:pt>
                <c:pt idx="48">
                  <c:v>-1.1000000000000001</c:v>
                </c:pt>
                <c:pt idx="49">
                  <c:v>-3.1</c:v>
                </c:pt>
                <c:pt idx="50">
                  <c:v>-2.9</c:v>
                </c:pt>
                <c:pt idx="51">
                  <c:v>-4</c:v>
                </c:pt>
                <c:pt idx="52">
                  <c:v>-3.2</c:v>
                </c:pt>
                <c:pt idx="53">
                  <c:v>-4.7</c:v>
                </c:pt>
                <c:pt idx="54">
                  <c:v>-5.9</c:v>
                </c:pt>
                <c:pt idx="55">
                  <c:v>-7.3</c:v>
                </c:pt>
                <c:pt idx="56">
                  <c:v>-6.6</c:v>
                </c:pt>
                <c:pt idx="57">
                  <c:v>-1.6</c:v>
                </c:pt>
                <c:pt idx="58">
                  <c:v>-1.1000000000000001</c:v>
                </c:pt>
                <c:pt idx="59">
                  <c:v>0.4</c:v>
                </c:pt>
                <c:pt idx="60">
                  <c:v>-3.9</c:v>
                </c:pt>
                <c:pt idx="61">
                  <c:v>-6.7</c:v>
                </c:pt>
                <c:pt idx="62">
                  <c:v>-4.2</c:v>
                </c:pt>
                <c:pt idx="63">
                  <c:v>-2.7</c:v>
                </c:pt>
                <c:pt idx="64">
                  <c:v>-3.5</c:v>
                </c:pt>
                <c:pt idx="65">
                  <c:v>-3.5</c:v>
                </c:pt>
                <c:pt idx="66">
                  <c:v>-4.5999999999999996</c:v>
                </c:pt>
                <c:pt idx="67">
                  <c:v>-3.7</c:v>
                </c:pt>
                <c:pt idx="68">
                  <c:v>-2.9</c:v>
                </c:pt>
                <c:pt idx="69">
                  <c:v>-2.5</c:v>
                </c:pt>
                <c:pt idx="70">
                  <c:v>-2.7</c:v>
                </c:pt>
                <c:pt idx="71">
                  <c:v>-4.9000000000000004</c:v>
                </c:pt>
                <c:pt idx="72">
                  <c:v>-3.9</c:v>
                </c:pt>
                <c:pt idx="73">
                  <c:v>-3.3</c:v>
                </c:pt>
                <c:pt idx="74">
                  <c:v>-3.9</c:v>
                </c:pt>
                <c:pt idx="75">
                  <c:v>-4</c:v>
                </c:pt>
                <c:pt idx="76">
                  <c:v>-4</c:v>
                </c:pt>
                <c:pt idx="77">
                  <c:v>-2.8</c:v>
                </c:pt>
                <c:pt idx="78">
                  <c:v>-1.6</c:v>
                </c:pt>
                <c:pt idx="79">
                  <c:v>-1.8</c:v>
                </c:pt>
                <c:pt idx="80">
                  <c:v>-1.9</c:v>
                </c:pt>
                <c:pt idx="81">
                  <c:v>-3.9</c:v>
                </c:pt>
                <c:pt idx="82">
                  <c:v>-5.0999999999999996</c:v>
                </c:pt>
                <c:pt idx="83">
                  <c:v>-5.4</c:v>
                </c:pt>
                <c:pt idx="84">
                  <c:v>-5.4</c:v>
                </c:pt>
                <c:pt idx="85">
                  <c:v>-5.2</c:v>
                </c:pt>
                <c:pt idx="86">
                  <c:v>-2</c:v>
                </c:pt>
                <c:pt idx="87">
                  <c:v>-4.3</c:v>
                </c:pt>
                <c:pt idx="88">
                  <c:v>-4.5999999999999996</c:v>
                </c:pt>
                <c:pt idx="89">
                  <c:v>-4.5999999999999996</c:v>
                </c:pt>
                <c:pt idx="90">
                  <c:v>-4.4000000000000004</c:v>
                </c:pt>
                <c:pt idx="91">
                  <c:v>-3.9</c:v>
                </c:pt>
                <c:pt idx="92">
                  <c:v>-2.1</c:v>
                </c:pt>
                <c:pt idx="93">
                  <c:v>-3.6</c:v>
                </c:pt>
                <c:pt idx="94">
                  <c:v>-3.3</c:v>
                </c:pt>
                <c:pt idx="95">
                  <c:v>-4</c:v>
                </c:pt>
                <c:pt idx="96">
                  <c:v>-2.6</c:v>
                </c:pt>
                <c:pt idx="97">
                  <c:v>-0.7</c:v>
                </c:pt>
                <c:pt idx="98">
                  <c:v>-0.5</c:v>
                </c:pt>
                <c:pt idx="99">
                  <c:v>0</c:v>
                </c:pt>
                <c:pt idx="100">
                  <c:v>-0.1</c:v>
                </c:pt>
                <c:pt idx="101">
                  <c:v>-0.3</c:v>
                </c:pt>
                <c:pt idx="102">
                  <c:v>-1.5</c:v>
                </c:pt>
                <c:pt idx="103">
                  <c:v>-1.1000000000000001</c:v>
                </c:pt>
                <c:pt idx="104">
                  <c:v>0</c:v>
                </c:pt>
                <c:pt idx="105">
                  <c:v>1.3</c:v>
                </c:pt>
                <c:pt idx="106">
                  <c:v>1.1000000000000001</c:v>
                </c:pt>
                <c:pt idx="107">
                  <c:v>3.2</c:v>
                </c:pt>
                <c:pt idx="108">
                  <c:v>0.2</c:v>
                </c:pt>
                <c:pt idx="109">
                  <c:v>-1.5</c:v>
                </c:pt>
                <c:pt idx="110">
                  <c:v>2.4</c:v>
                </c:pt>
                <c:pt idx="111">
                  <c:v>1.7</c:v>
                </c:pt>
                <c:pt idx="112">
                  <c:v>-0.2</c:v>
                </c:pt>
                <c:pt idx="113">
                  <c:v>-1.7</c:v>
                </c:pt>
                <c:pt idx="114">
                  <c:v>-2.7</c:v>
                </c:pt>
                <c:pt idx="115">
                  <c:v>-1.3</c:v>
                </c:pt>
                <c:pt idx="116">
                  <c:v>1.6</c:v>
                </c:pt>
                <c:pt idx="117">
                  <c:v>1.5</c:v>
                </c:pt>
                <c:pt idx="118">
                  <c:v>2</c:v>
                </c:pt>
                <c:pt idx="119">
                  <c:v>-0.6</c:v>
                </c:pt>
                <c:pt idx="120">
                  <c:v>-1.2</c:v>
                </c:pt>
                <c:pt idx="121">
                  <c:v>0.7</c:v>
                </c:pt>
                <c:pt idx="122">
                  <c:v>-1</c:v>
                </c:pt>
                <c:pt idx="123">
                  <c:v>1.5</c:v>
                </c:pt>
                <c:pt idx="124">
                  <c:v>1.8</c:v>
                </c:pt>
                <c:pt idx="125">
                  <c:v>1.3</c:v>
                </c:pt>
                <c:pt idx="126">
                  <c:v>2.6</c:v>
                </c:pt>
                <c:pt idx="127">
                  <c:v>-1.2</c:v>
                </c:pt>
                <c:pt idx="128">
                  <c:v>0</c:v>
                </c:pt>
                <c:pt idx="129">
                  <c:v>0.7</c:v>
                </c:pt>
                <c:pt idx="130">
                  <c:v>0.4</c:v>
                </c:pt>
                <c:pt idx="131">
                  <c:v>2.4</c:v>
                </c:pt>
                <c:pt idx="132">
                  <c:v>-0.3</c:v>
                </c:pt>
                <c:pt idx="133">
                  <c:v>-0.8</c:v>
                </c:pt>
                <c:pt idx="134">
                  <c:v>0</c:v>
                </c:pt>
                <c:pt idx="135">
                  <c:v>-1</c:v>
                </c:pt>
                <c:pt idx="136">
                  <c:v>-0.4</c:v>
                </c:pt>
                <c:pt idx="137">
                  <c:v>0</c:v>
                </c:pt>
                <c:pt idx="138">
                  <c:v>-5</c:v>
                </c:pt>
                <c:pt idx="139">
                  <c:v>-2.2999999999999998</c:v>
                </c:pt>
                <c:pt idx="140">
                  <c:v>-4.0999999999999996</c:v>
                </c:pt>
                <c:pt idx="141">
                  <c:v>-1.8</c:v>
                </c:pt>
                <c:pt idx="142">
                  <c:v>-1.5</c:v>
                </c:pt>
                <c:pt idx="143">
                  <c:v>-1.7</c:v>
                </c:pt>
                <c:pt idx="144">
                  <c:v>-1.3</c:v>
                </c:pt>
                <c:pt idx="145">
                  <c:v>-2.2000000000000002</c:v>
                </c:pt>
                <c:pt idx="146">
                  <c:v>-2.6</c:v>
                </c:pt>
                <c:pt idx="147">
                  <c:v>-2.9</c:v>
                </c:pt>
                <c:pt idx="148">
                  <c:v>-2.2000000000000002</c:v>
                </c:pt>
                <c:pt idx="149">
                  <c:v>-2.1</c:v>
                </c:pt>
                <c:pt idx="150">
                  <c:v>0.8</c:v>
                </c:pt>
                <c:pt idx="151">
                  <c:v>-1.1000000000000001</c:v>
                </c:pt>
                <c:pt idx="152">
                  <c:v>3.8</c:v>
                </c:pt>
                <c:pt idx="153">
                  <c:v>1.3</c:v>
                </c:pt>
                <c:pt idx="154">
                  <c:v>1.3</c:v>
                </c:pt>
                <c:pt idx="155">
                  <c:v>-1.8</c:v>
                </c:pt>
                <c:pt idx="156">
                  <c:v>-1.6</c:v>
                </c:pt>
                <c:pt idx="157">
                  <c:v>0.3</c:v>
                </c:pt>
                <c:pt idx="15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E-48F7-A0CF-B1624207C982}"/>
            </c:ext>
          </c:extLst>
        </c:ser>
        <c:ser>
          <c:idx val="4"/>
          <c:order val="4"/>
          <c:tx>
            <c:strRef>
              <c:f>inflacija!$D$102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inflacija!$E$102:$FG$102</c:f>
              <c:numCache>
                <c:formatCode>#,##0.0</c:formatCode>
                <c:ptCount val="159"/>
                <c:pt idx="0">
                  <c:v>4.7</c:v>
                </c:pt>
                <c:pt idx="1">
                  <c:v>3.5</c:v>
                </c:pt>
                <c:pt idx="2">
                  <c:v>3</c:v>
                </c:pt>
                <c:pt idx="3">
                  <c:v>3.4</c:v>
                </c:pt>
                <c:pt idx="4">
                  <c:v>2.8</c:v>
                </c:pt>
                <c:pt idx="5">
                  <c:v>2.4</c:v>
                </c:pt>
                <c:pt idx="6">
                  <c:v>2.2999999999999998</c:v>
                </c:pt>
                <c:pt idx="7">
                  <c:v>1.8</c:v>
                </c:pt>
                <c:pt idx="8">
                  <c:v>2.6</c:v>
                </c:pt>
                <c:pt idx="9">
                  <c:v>2.9</c:v>
                </c:pt>
                <c:pt idx="10">
                  <c:v>3.2</c:v>
                </c:pt>
                <c:pt idx="11">
                  <c:v>3.9</c:v>
                </c:pt>
                <c:pt idx="12">
                  <c:v>4.9000000000000004</c:v>
                </c:pt>
                <c:pt idx="13">
                  <c:v>4.7</c:v>
                </c:pt>
                <c:pt idx="14">
                  <c:v>4.9000000000000004</c:v>
                </c:pt>
                <c:pt idx="15">
                  <c:v>4.8</c:v>
                </c:pt>
                <c:pt idx="16">
                  <c:v>5.3</c:v>
                </c:pt>
                <c:pt idx="17">
                  <c:v>5.8</c:v>
                </c:pt>
                <c:pt idx="18">
                  <c:v>10</c:v>
                </c:pt>
                <c:pt idx="19">
                  <c:v>9.1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7.1</c:v>
                </c:pt>
                <c:pt idx="24">
                  <c:v>7.2</c:v>
                </c:pt>
                <c:pt idx="25">
                  <c:v>7.3</c:v>
                </c:pt>
                <c:pt idx="26">
                  <c:v>6.4</c:v>
                </c:pt>
                <c:pt idx="27">
                  <c:v>6.3</c:v>
                </c:pt>
                <c:pt idx="28">
                  <c:v>5.4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3.9</c:v>
                </c:pt>
                <c:pt idx="35">
                  <c:v>4.5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5.2</c:v>
                </c:pt>
                <c:pt idx="39">
                  <c:v>5.7</c:v>
                </c:pt>
                <c:pt idx="40">
                  <c:v>6.8</c:v>
                </c:pt>
                <c:pt idx="41">
                  <c:v>7</c:v>
                </c:pt>
                <c:pt idx="42">
                  <c:v>6.1</c:v>
                </c:pt>
                <c:pt idx="43">
                  <c:v>5.8</c:v>
                </c:pt>
                <c:pt idx="44">
                  <c:v>5.9</c:v>
                </c:pt>
                <c:pt idx="45">
                  <c:v>5.8</c:v>
                </c:pt>
                <c:pt idx="46">
                  <c:v>4.9000000000000004</c:v>
                </c:pt>
                <c:pt idx="47">
                  <c:v>4.7</c:v>
                </c:pt>
                <c:pt idx="48">
                  <c:v>2.1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2.4</c:v>
                </c:pt>
                <c:pt idx="52">
                  <c:v>2.2000000000000002</c:v>
                </c:pt>
                <c:pt idx="53">
                  <c:v>2</c:v>
                </c:pt>
                <c:pt idx="54">
                  <c:v>2.8</c:v>
                </c:pt>
                <c:pt idx="55">
                  <c:v>3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2.9</c:v>
                </c:pt>
                <c:pt idx="60">
                  <c:v>2.8</c:v>
                </c:pt>
                <c:pt idx="61">
                  <c:v>3</c:v>
                </c:pt>
                <c:pt idx="62">
                  <c:v>5.2</c:v>
                </c:pt>
                <c:pt idx="63">
                  <c:v>4.9000000000000004</c:v>
                </c:pt>
                <c:pt idx="64">
                  <c:v>14.4</c:v>
                </c:pt>
                <c:pt idx="65">
                  <c:v>13.8</c:v>
                </c:pt>
                <c:pt idx="66">
                  <c:v>12.2</c:v>
                </c:pt>
                <c:pt idx="67">
                  <c:v>12.6</c:v>
                </c:pt>
                <c:pt idx="68">
                  <c:v>13.2</c:v>
                </c:pt>
                <c:pt idx="69">
                  <c:v>13.1</c:v>
                </c:pt>
                <c:pt idx="70">
                  <c:v>12.9</c:v>
                </c:pt>
                <c:pt idx="71">
                  <c:v>13.2</c:v>
                </c:pt>
                <c:pt idx="72">
                  <c:v>13.2</c:v>
                </c:pt>
                <c:pt idx="73">
                  <c:v>12.5</c:v>
                </c:pt>
                <c:pt idx="74">
                  <c:v>10.1</c:v>
                </c:pt>
                <c:pt idx="75">
                  <c:v>9.8000000000000007</c:v>
                </c:pt>
                <c:pt idx="76">
                  <c:v>0</c:v>
                </c:pt>
                <c:pt idx="77">
                  <c:v>0.7</c:v>
                </c:pt>
                <c:pt idx="78">
                  <c:v>1.5</c:v>
                </c:pt>
                <c:pt idx="79">
                  <c:v>1</c:v>
                </c:pt>
                <c:pt idx="80">
                  <c:v>0.5</c:v>
                </c:pt>
                <c:pt idx="81">
                  <c:v>-1.5</c:v>
                </c:pt>
                <c:pt idx="82">
                  <c:v>0.2</c:v>
                </c:pt>
                <c:pt idx="83">
                  <c:v>0.1</c:v>
                </c:pt>
                <c:pt idx="84">
                  <c:v>0.5</c:v>
                </c:pt>
                <c:pt idx="85">
                  <c:v>0.4</c:v>
                </c:pt>
                <c:pt idx="86">
                  <c:v>0.1</c:v>
                </c:pt>
                <c:pt idx="87">
                  <c:v>1</c:v>
                </c:pt>
                <c:pt idx="88">
                  <c:v>1.5</c:v>
                </c:pt>
                <c:pt idx="89">
                  <c:v>1.2</c:v>
                </c:pt>
                <c:pt idx="90">
                  <c:v>1.2</c:v>
                </c:pt>
                <c:pt idx="91">
                  <c:v>1</c:v>
                </c:pt>
                <c:pt idx="92">
                  <c:v>0.8</c:v>
                </c:pt>
                <c:pt idx="93">
                  <c:v>3.2</c:v>
                </c:pt>
                <c:pt idx="94">
                  <c:v>0.9</c:v>
                </c:pt>
                <c:pt idx="95">
                  <c:v>0.4</c:v>
                </c:pt>
                <c:pt idx="96">
                  <c:v>-1.1000000000000001</c:v>
                </c:pt>
                <c:pt idx="97">
                  <c:v>-0.7</c:v>
                </c:pt>
                <c:pt idx="98">
                  <c:v>0.3</c:v>
                </c:pt>
                <c:pt idx="99">
                  <c:v>-1.8</c:v>
                </c:pt>
                <c:pt idx="100">
                  <c:v>-1.2</c:v>
                </c:pt>
                <c:pt idx="101">
                  <c:v>-1.6</c:v>
                </c:pt>
                <c:pt idx="102">
                  <c:v>-2.1</c:v>
                </c:pt>
                <c:pt idx="103">
                  <c:v>-2.5</c:v>
                </c:pt>
                <c:pt idx="104">
                  <c:v>-1.9</c:v>
                </c:pt>
                <c:pt idx="105">
                  <c:v>-2.2000000000000002</c:v>
                </c:pt>
                <c:pt idx="106">
                  <c:v>-2.1</c:v>
                </c:pt>
                <c:pt idx="107">
                  <c:v>-2.1</c:v>
                </c:pt>
                <c:pt idx="108">
                  <c:v>-2.2999999999999998</c:v>
                </c:pt>
                <c:pt idx="109">
                  <c:v>-2.7</c:v>
                </c:pt>
                <c:pt idx="110">
                  <c:v>-3.2</c:v>
                </c:pt>
                <c:pt idx="111">
                  <c:v>-3.7</c:v>
                </c:pt>
                <c:pt idx="112">
                  <c:v>-4</c:v>
                </c:pt>
                <c:pt idx="113">
                  <c:v>-3</c:v>
                </c:pt>
                <c:pt idx="114">
                  <c:v>-2.9</c:v>
                </c:pt>
                <c:pt idx="115">
                  <c:v>-2.7</c:v>
                </c:pt>
                <c:pt idx="116">
                  <c:v>-2.8</c:v>
                </c:pt>
                <c:pt idx="117">
                  <c:v>-2.6</c:v>
                </c:pt>
                <c:pt idx="118">
                  <c:v>-2.2000000000000002</c:v>
                </c:pt>
                <c:pt idx="119">
                  <c:v>-1.6</c:v>
                </c:pt>
                <c:pt idx="120">
                  <c:v>-3.8</c:v>
                </c:pt>
                <c:pt idx="121">
                  <c:v>-3.5</c:v>
                </c:pt>
                <c:pt idx="122">
                  <c:v>-4.2</c:v>
                </c:pt>
                <c:pt idx="123">
                  <c:v>-2.6</c:v>
                </c:pt>
                <c:pt idx="124">
                  <c:v>-3.1</c:v>
                </c:pt>
                <c:pt idx="125">
                  <c:v>-3.9</c:v>
                </c:pt>
                <c:pt idx="126">
                  <c:v>-3.8</c:v>
                </c:pt>
                <c:pt idx="127">
                  <c:v>-3.1</c:v>
                </c:pt>
                <c:pt idx="128">
                  <c:v>-0.7</c:v>
                </c:pt>
                <c:pt idx="129">
                  <c:v>-0.5</c:v>
                </c:pt>
                <c:pt idx="130">
                  <c:v>-0.3</c:v>
                </c:pt>
                <c:pt idx="131">
                  <c:v>-0.5</c:v>
                </c:pt>
                <c:pt idx="132">
                  <c:v>3.5</c:v>
                </c:pt>
                <c:pt idx="133">
                  <c:v>3.1</c:v>
                </c:pt>
                <c:pt idx="134">
                  <c:v>3.3</c:v>
                </c:pt>
                <c:pt idx="135">
                  <c:v>3.9</c:v>
                </c:pt>
                <c:pt idx="136">
                  <c:v>4.9000000000000004</c:v>
                </c:pt>
                <c:pt idx="137">
                  <c:v>5.6</c:v>
                </c:pt>
                <c:pt idx="138">
                  <c:v>5.8</c:v>
                </c:pt>
                <c:pt idx="139">
                  <c:v>5.4</c:v>
                </c:pt>
                <c:pt idx="140">
                  <c:v>2.8</c:v>
                </c:pt>
                <c:pt idx="141">
                  <c:v>3</c:v>
                </c:pt>
                <c:pt idx="142">
                  <c:v>2.6</c:v>
                </c:pt>
                <c:pt idx="143">
                  <c:v>1.5</c:v>
                </c:pt>
                <c:pt idx="144">
                  <c:v>1</c:v>
                </c:pt>
                <c:pt idx="145">
                  <c:v>2.1</c:v>
                </c:pt>
                <c:pt idx="146">
                  <c:v>2.6</c:v>
                </c:pt>
                <c:pt idx="147">
                  <c:v>3.3</c:v>
                </c:pt>
                <c:pt idx="148">
                  <c:v>3.2</c:v>
                </c:pt>
                <c:pt idx="149">
                  <c:v>2.6</c:v>
                </c:pt>
                <c:pt idx="150">
                  <c:v>2.2999999999999998</c:v>
                </c:pt>
                <c:pt idx="151">
                  <c:v>2.2000000000000002</c:v>
                </c:pt>
                <c:pt idx="152">
                  <c:v>1.7</c:v>
                </c:pt>
                <c:pt idx="153">
                  <c:v>1.4</c:v>
                </c:pt>
                <c:pt idx="154">
                  <c:v>1.4</c:v>
                </c:pt>
                <c:pt idx="155">
                  <c:v>2.4</c:v>
                </c:pt>
                <c:pt idx="156">
                  <c:v>2.9</c:v>
                </c:pt>
                <c:pt idx="157">
                  <c:v>1.1000000000000001</c:v>
                </c:pt>
                <c:pt idx="158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EE-48F7-A0CF-B1624207C982}"/>
            </c:ext>
          </c:extLst>
        </c:ser>
        <c:ser>
          <c:idx val="5"/>
          <c:order val="5"/>
          <c:tx>
            <c:strRef>
              <c:f>inflacija!$D$103</c:f>
              <c:strCache>
                <c:ptCount val="1"/>
                <c:pt idx="0">
                  <c:v>Furnishings, household equipment and routine household maintenance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inflacija!$E$103:$FG$103</c:f>
              <c:numCache>
                <c:formatCode>#,##0.0</c:formatCode>
                <c:ptCount val="159"/>
                <c:pt idx="0">
                  <c:v>2.2000000000000002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1.8</c:v>
                </c:pt>
                <c:pt idx="6">
                  <c:v>1.6</c:v>
                </c:pt>
                <c:pt idx="7">
                  <c:v>1.9</c:v>
                </c:pt>
                <c:pt idx="8">
                  <c:v>2</c:v>
                </c:pt>
                <c:pt idx="9">
                  <c:v>2.4</c:v>
                </c:pt>
                <c:pt idx="10">
                  <c:v>2.7</c:v>
                </c:pt>
                <c:pt idx="11">
                  <c:v>3.1</c:v>
                </c:pt>
                <c:pt idx="12">
                  <c:v>3.4</c:v>
                </c:pt>
                <c:pt idx="13">
                  <c:v>3.8</c:v>
                </c:pt>
                <c:pt idx="14">
                  <c:v>4</c:v>
                </c:pt>
                <c:pt idx="15">
                  <c:v>4.5</c:v>
                </c:pt>
                <c:pt idx="16">
                  <c:v>4.8</c:v>
                </c:pt>
                <c:pt idx="17">
                  <c:v>5.2</c:v>
                </c:pt>
                <c:pt idx="18">
                  <c:v>5.7</c:v>
                </c:pt>
                <c:pt idx="19">
                  <c:v>5.6</c:v>
                </c:pt>
                <c:pt idx="20">
                  <c:v>5.5</c:v>
                </c:pt>
                <c:pt idx="21">
                  <c:v>5.0999999999999996</c:v>
                </c:pt>
                <c:pt idx="22">
                  <c:v>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4.2</c:v>
                </c:pt>
                <c:pt idx="27">
                  <c:v>4</c:v>
                </c:pt>
                <c:pt idx="28">
                  <c:v>3.3</c:v>
                </c:pt>
                <c:pt idx="29">
                  <c:v>2.9</c:v>
                </c:pt>
                <c:pt idx="30">
                  <c:v>2.9</c:v>
                </c:pt>
                <c:pt idx="31">
                  <c:v>2.5</c:v>
                </c:pt>
                <c:pt idx="32">
                  <c:v>1.9</c:v>
                </c:pt>
                <c:pt idx="33">
                  <c:v>1.6</c:v>
                </c:pt>
                <c:pt idx="34">
                  <c:v>1.3</c:v>
                </c:pt>
                <c:pt idx="35">
                  <c:v>0.5</c:v>
                </c:pt>
                <c:pt idx="36">
                  <c:v>0.5</c:v>
                </c:pt>
                <c:pt idx="37">
                  <c:v>0.2</c:v>
                </c:pt>
                <c:pt idx="38">
                  <c:v>0</c:v>
                </c:pt>
                <c:pt idx="39">
                  <c:v>-0.7</c:v>
                </c:pt>
                <c:pt idx="40">
                  <c:v>-0.5</c:v>
                </c:pt>
                <c:pt idx="41">
                  <c:v>-0.6</c:v>
                </c:pt>
                <c:pt idx="42">
                  <c:v>-0.7</c:v>
                </c:pt>
                <c:pt idx="43">
                  <c:v>-0.6</c:v>
                </c:pt>
                <c:pt idx="44">
                  <c:v>0.2</c:v>
                </c:pt>
                <c:pt idx="45">
                  <c:v>0.6</c:v>
                </c:pt>
                <c:pt idx="46">
                  <c:v>0.3</c:v>
                </c:pt>
                <c:pt idx="47">
                  <c:v>0.3</c:v>
                </c:pt>
                <c:pt idx="48">
                  <c:v>-0.2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1.8</c:v>
                </c:pt>
                <c:pt idx="52">
                  <c:v>2.1</c:v>
                </c:pt>
                <c:pt idx="53">
                  <c:v>2.5</c:v>
                </c:pt>
                <c:pt idx="54">
                  <c:v>2.2999999999999998</c:v>
                </c:pt>
                <c:pt idx="55">
                  <c:v>2.7</c:v>
                </c:pt>
                <c:pt idx="56">
                  <c:v>2.5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2.8</c:v>
                </c:pt>
                <c:pt idx="60">
                  <c:v>2.6</c:v>
                </c:pt>
                <c:pt idx="61">
                  <c:v>2.1</c:v>
                </c:pt>
                <c:pt idx="62">
                  <c:v>2.7</c:v>
                </c:pt>
                <c:pt idx="63">
                  <c:v>2.5</c:v>
                </c:pt>
                <c:pt idx="64">
                  <c:v>2.4</c:v>
                </c:pt>
                <c:pt idx="65">
                  <c:v>2</c:v>
                </c:pt>
                <c:pt idx="66">
                  <c:v>2</c:v>
                </c:pt>
                <c:pt idx="67">
                  <c:v>1.6</c:v>
                </c:pt>
                <c:pt idx="68">
                  <c:v>1.5</c:v>
                </c:pt>
                <c:pt idx="69">
                  <c:v>1.6</c:v>
                </c:pt>
                <c:pt idx="70">
                  <c:v>2.1</c:v>
                </c:pt>
                <c:pt idx="71">
                  <c:v>2.2999999999999998</c:v>
                </c:pt>
                <c:pt idx="72">
                  <c:v>2.6</c:v>
                </c:pt>
                <c:pt idx="73">
                  <c:v>2.2000000000000002</c:v>
                </c:pt>
                <c:pt idx="74">
                  <c:v>1.1000000000000001</c:v>
                </c:pt>
                <c:pt idx="75">
                  <c:v>0.7</c:v>
                </c:pt>
                <c:pt idx="76">
                  <c:v>0.4</c:v>
                </c:pt>
                <c:pt idx="77">
                  <c:v>0.3</c:v>
                </c:pt>
                <c:pt idx="78">
                  <c:v>-0.1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-0.2</c:v>
                </c:pt>
                <c:pt idx="83">
                  <c:v>-0.7</c:v>
                </c:pt>
                <c:pt idx="84">
                  <c:v>-0.6</c:v>
                </c:pt>
                <c:pt idx="85">
                  <c:v>-0.9</c:v>
                </c:pt>
                <c:pt idx="86">
                  <c:v>-0.8</c:v>
                </c:pt>
                <c:pt idx="87">
                  <c:v>-0.8</c:v>
                </c:pt>
                <c:pt idx="88">
                  <c:v>-0.9</c:v>
                </c:pt>
                <c:pt idx="89">
                  <c:v>-0.9</c:v>
                </c:pt>
                <c:pt idx="90">
                  <c:v>-0.7</c:v>
                </c:pt>
                <c:pt idx="91">
                  <c:v>-0.8</c:v>
                </c:pt>
                <c:pt idx="92">
                  <c:v>-1</c:v>
                </c:pt>
                <c:pt idx="93">
                  <c:v>-1</c:v>
                </c:pt>
                <c:pt idx="94">
                  <c:v>-0.6</c:v>
                </c:pt>
                <c:pt idx="95">
                  <c:v>-0.9</c:v>
                </c:pt>
                <c:pt idx="96">
                  <c:v>-0.6</c:v>
                </c:pt>
                <c:pt idx="97">
                  <c:v>-0.1</c:v>
                </c:pt>
                <c:pt idx="98">
                  <c:v>-0.6</c:v>
                </c:pt>
                <c:pt idx="99">
                  <c:v>-0.4</c:v>
                </c:pt>
                <c:pt idx="100">
                  <c:v>-0.3</c:v>
                </c:pt>
                <c:pt idx="101">
                  <c:v>-0.3</c:v>
                </c:pt>
                <c:pt idx="102">
                  <c:v>-0.3</c:v>
                </c:pt>
                <c:pt idx="103">
                  <c:v>-0.2</c:v>
                </c:pt>
                <c:pt idx="104">
                  <c:v>0</c:v>
                </c:pt>
                <c:pt idx="105">
                  <c:v>0.1</c:v>
                </c:pt>
                <c:pt idx="106">
                  <c:v>-0.3</c:v>
                </c:pt>
                <c:pt idx="107">
                  <c:v>-0.3</c:v>
                </c:pt>
                <c:pt idx="108">
                  <c:v>-0.4</c:v>
                </c:pt>
                <c:pt idx="109">
                  <c:v>-0.6</c:v>
                </c:pt>
                <c:pt idx="110">
                  <c:v>-0.1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0.6</c:v>
                </c:pt>
                <c:pt idx="116">
                  <c:v>0.3</c:v>
                </c:pt>
                <c:pt idx="117">
                  <c:v>-0.2</c:v>
                </c:pt>
                <c:pt idx="118">
                  <c:v>0</c:v>
                </c:pt>
                <c:pt idx="119">
                  <c:v>0.6</c:v>
                </c:pt>
                <c:pt idx="120">
                  <c:v>0.1</c:v>
                </c:pt>
                <c:pt idx="121">
                  <c:v>0.3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0.4</c:v>
                </c:pt>
                <c:pt idx="126">
                  <c:v>0.2</c:v>
                </c:pt>
                <c:pt idx="127">
                  <c:v>-0.3</c:v>
                </c:pt>
                <c:pt idx="128">
                  <c:v>-0.3</c:v>
                </c:pt>
                <c:pt idx="129">
                  <c:v>0.1</c:v>
                </c:pt>
                <c:pt idx="130">
                  <c:v>-0.1</c:v>
                </c:pt>
                <c:pt idx="131">
                  <c:v>-0.2</c:v>
                </c:pt>
                <c:pt idx="132">
                  <c:v>0.3</c:v>
                </c:pt>
                <c:pt idx="133">
                  <c:v>0.2</c:v>
                </c:pt>
                <c:pt idx="134">
                  <c:v>0.3</c:v>
                </c:pt>
                <c:pt idx="135">
                  <c:v>0.4</c:v>
                </c:pt>
                <c:pt idx="136">
                  <c:v>0.2</c:v>
                </c:pt>
                <c:pt idx="137">
                  <c:v>0.3</c:v>
                </c:pt>
                <c:pt idx="138">
                  <c:v>0.3</c:v>
                </c:pt>
                <c:pt idx="139">
                  <c:v>0.8</c:v>
                </c:pt>
                <c:pt idx="140">
                  <c:v>1.1000000000000001</c:v>
                </c:pt>
                <c:pt idx="141">
                  <c:v>1</c:v>
                </c:pt>
                <c:pt idx="142">
                  <c:v>0.9</c:v>
                </c:pt>
                <c:pt idx="143">
                  <c:v>0.8</c:v>
                </c:pt>
                <c:pt idx="144">
                  <c:v>0.7</c:v>
                </c:pt>
                <c:pt idx="145">
                  <c:v>1.2</c:v>
                </c:pt>
                <c:pt idx="146">
                  <c:v>1</c:v>
                </c:pt>
                <c:pt idx="147">
                  <c:v>1.4</c:v>
                </c:pt>
                <c:pt idx="148">
                  <c:v>1.3</c:v>
                </c:pt>
                <c:pt idx="149">
                  <c:v>0.6</c:v>
                </c:pt>
                <c:pt idx="150">
                  <c:v>1.4</c:v>
                </c:pt>
                <c:pt idx="151">
                  <c:v>0.7</c:v>
                </c:pt>
                <c:pt idx="152">
                  <c:v>0.9</c:v>
                </c:pt>
                <c:pt idx="153">
                  <c:v>1</c:v>
                </c:pt>
                <c:pt idx="154">
                  <c:v>0.7</c:v>
                </c:pt>
                <c:pt idx="155">
                  <c:v>1.2</c:v>
                </c:pt>
                <c:pt idx="156">
                  <c:v>0.8</c:v>
                </c:pt>
                <c:pt idx="157">
                  <c:v>0.6</c:v>
                </c:pt>
                <c:pt idx="15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EE-48F7-A0CF-B1624207C982}"/>
            </c:ext>
          </c:extLst>
        </c:ser>
        <c:ser>
          <c:idx val="6"/>
          <c:order val="6"/>
          <c:tx>
            <c:strRef>
              <c:f>inflacija!$D$104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inflacija!$E$104:$FG$104</c:f>
              <c:numCache>
                <c:formatCode>#,##0.0</c:formatCode>
                <c:ptCount val="159"/>
                <c:pt idx="0">
                  <c:v>1.7</c:v>
                </c:pt>
                <c:pt idx="1">
                  <c:v>1.8</c:v>
                </c:pt>
                <c:pt idx="2">
                  <c:v>1.6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1.4</c:v>
                </c:pt>
                <c:pt idx="12">
                  <c:v>4</c:v>
                </c:pt>
                <c:pt idx="13">
                  <c:v>3.7</c:v>
                </c:pt>
                <c:pt idx="14">
                  <c:v>3.9</c:v>
                </c:pt>
                <c:pt idx="15">
                  <c:v>5.5</c:v>
                </c:pt>
                <c:pt idx="16">
                  <c:v>5.6</c:v>
                </c:pt>
                <c:pt idx="17">
                  <c:v>5.4</c:v>
                </c:pt>
                <c:pt idx="18">
                  <c:v>5.4</c:v>
                </c:pt>
                <c:pt idx="19">
                  <c:v>6.5</c:v>
                </c:pt>
                <c:pt idx="20">
                  <c:v>7.4</c:v>
                </c:pt>
                <c:pt idx="21">
                  <c:v>7.5</c:v>
                </c:pt>
                <c:pt idx="22">
                  <c:v>7.4</c:v>
                </c:pt>
                <c:pt idx="23">
                  <c:v>7.5</c:v>
                </c:pt>
                <c:pt idx="24">
                  <c:v>15.9</c:v>
                </c:pt>
                <c:pt idx="25">
                  <c:v>16.7</c:v>
                </c:pt>
                <c:pt idx="26">
                  <c:v>16.7</c:v>
                </c:pt>
                <c:pt idx="27">
                  <c:v>15.3</c:v>
                </c:pt>
                <c:pt idx="28">
                  <c:v>15.5</c:v>
                </c:pt>
                <c:pt idx="29">
                  <c:v>15.5</c:v>
                </c:pt>
                <c:pt idx="30">
                  <c:v>15.4</c:v>
                </c:pt>
                <c:pt idx="31">
                  <c:v>15.1</c:v>
                </c:pt>
                <c:pt idx="32">
                  <c:v>14.6</c:v>
                </c:pt>
                <c:pt idx="33">
                  <c:v>14.6</c:v>
                </c:pt>
                <c:pt idx="34">
                  <c:v>14.6</c:v>
                </c:pt>
                <c:pt idx="35">
                  <c:v>14.7</c:v>
                </c:pt>
                <c:pt idx="36">
                  <c:v>4.0999999999999996</c:v>
                </c:pt>
                <c:pt idx="37">
                  <c:v>3.9</c:v>
                </c:pt>
                <c:pt idx="38">
                  <c:v>3.5</c:v>
                </c:pt>
                <c:pt idx="39">
                  <c:v>3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1.9</c:v>
                </c:pt>
                <c:pt idx="44">
                  <c:v>1.9</c:v>
                </c:pt>
                <c:pt idx="45">
                  <c:v>1.8</c:v>
                </c:pt>
                <c:pt idx="46">
                  <c:v>1.8</c:v>
                </c:pt>
                <c:pt idx="47">
                  <c:v>1.7</c:v>
                </c:pt>
                <c:pt idx="48">
                  <c:v>1.2</c:v>
                </c:pt>
                <c:pt idx="49">
                  <c:v>0.9</c:v>
                </c:pt>
                <c:pt idx="50">
                  <c:v>1.1000000000000001</c:v>
                </c:pt>
                <c:pt idx="51">
                  <c:v>1.4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0.9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1.4</c:v>
                </c:pt>
                <c:pt idx="60">
                  <c:v>1.3</c:v>
                </c:pt>
                <c:pt idx="61">
                  <c:v>1.2</c:v>
                </c:pt>
                <c:pt idx="62">
                  <c:v>1.8</c:v>
                </c:pt>
                <c:pt idx="63">
                  <c:v>1.6</c:v>
                </c:pt>
                <c:pt idx="64">
                  <c:v>2.2000000000000002</c:v>
                </c:pt>
                <c:pt idx="65">
                  <c:v>2.4</c:v>
                </c:pt>
                <c:pt idx="66">
                  <c:v>2.5</c:v>
                </c:pt>
                <c:pt idx="67">
                  <c:v>2.5</c:v>
                </c:pt>
                <c:pt idx="68">
                  <c:v>2.8</c:v>
                </c:pt>
                <c:pt idx="69">
                  <c:v>2.7</c:v>
                </c:pt>
                <c:pt idx="70">
                  <c:v>2.4</c:v>
                </c:pt>
                <c:pt idx="71">
                  <c:v>2</c:v>
                </c:pt>
                <c:pt idx="72">
                  <c:v>2.8</c:v>
                </c:pt>
                <c:pt idx="73">
                  <c:v>2.8</c:v>
                </c:pt>
                <c:pt idx="74">
                  <c:v>2.1</c:v>
                </c:pt>
                <c:pt idx="75">
                  <c:v>1.9</c:v>
                </c:pt>
                <c:pt idx="76">
                  <c:v>-0.2</c:v>
                </c:pt>
                <c:pt idx="77">
                  <c:v>-0.7</c:v>
                </c:pt>
                <c:pt idx="78">
                  <c:v>-0.7</c:v>
                </c:pt>
                <c:pt idx="79">
                  <c:v>-0.7</c:v>
                </c:pt>
                <c:pt idx="80">
                  <c:v>-0.8</c:v>
                </c:pt>
                <c:pt idx="81">
                  <c:v>-0.7</c:v>
                </c:pt>
                <c:pt idx="82">
                  <c:v>-0.7</c:v>
                </c:pt>
                <c:pt idx="83">
                  <c:v>-0.6</c:v>
                </c:pt>
                <c:pt idx="84">
                  <c:v>-0.9</c:v>
                </c:pt>
                <c:pt idx="85">
                  <c:v>-1.1000000000000001</c:v>
                </c:pt>
                <c:pt idx="86">
                  <c:v>-1.2</c:v>
                </c:pt>
                <c:pt idx="87">
                  <c:v>2.4</c:v>
                </c:pt>
                <c:pt idx="88">
                  <c:v>4.2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</c:v>
                </c:pt>
                <c:pt idx="96">
                  <c:v>3.6</c:v>
                </c:pt>
                <c:pt idx="97">
                  <c:v>3.8</c:v>
                </c:pt>
                <c:pt idx="98">
                  <c:v>4</c:v>
                </c:pt>
                <c:pt idx="99">
                  <c:v>0.7</c:v>
                </c:pt>
                <c:pt idx="100">
                  <c:v>0.7</c:v>
                </c:pt>
                <c:pt idx="101">
                  <c:v>0.8</c:v>
                </c:pt>
                <c:pt idx="102">
                  <c:v>1</c:v>
                </c:pt>
                <c:pt idx="103">
                  <c:v>6.8</c:v>
                </c:pt>
                <c:pt idx="104">
                  <c:v>6.8</c:v>
                </c:pt>
                <c:pt idx="105">
                  <c:v>6.8</c:v>
                </c:pt>
                <c:pt idx="106">
                  <c:v>6.6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6.5</c:v>
                </c:pt>
                <c:pt idx="111">
                  <c:v>6.3</c:v>
                </c:pt>
                <c:pt idx="112">
                  <c:v>6.1</c:v>
                </c:pt>
                <c:pt idx="113">
                  <c:v>6.7</c:v>
                </c:pt>
                <c:pt idx="114">
                  <c:v>7.9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2.4</c:v>
                </c:pt>
                <c:pt idx="120">
                  <c:v>2.4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1.4</c:v>
                </c:pt>
                <c:pt idx="126">
                  <c:v>0.2</c:v>
                </c:pt>
                <c:pt idx="127">
                  <c:v>-0.1</c:v>
                </c:pt>
                <c:pt idx="128">
                  <c:v>0.1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0.3</c:v>
                </c:pt>
                <c:pt idx="134">
                  <c:v>1.4</c:v>
                </c:pt>
                <c:pt idx="135">
                  <c:v>1.4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1.8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1.8</c:v>
                </c:pt>
                <c:pt idx="144">
                  <c:v>-0.1</c:v>
                </c:pt>
                <c:pt idx="145">
                  <c:v>0</c:v>
                </c:pt>
                <c:pt idx="146">
                  <c:v>-1.1000000000000001</c:v>
                </c:pt>
                <c:pt idx="147">
                  <c:v>-1.3</c:v>
                </c:pt>
                <c:pt idx="148">
                  <c:v>-1.2</c:v>
                </c:pt>
                <c:pt idx="149">
                  <c:v>-1.2</c:v>
                </c:pt>
                <c:pt idx="150">
                  <c:v>-1.1000000000000001</c:v>
                </c:pt>
                <c:pt idx="151">
                  <c:v>-1.1000000000000001</c:v>
                </c:pt>
                <c:pt idx="152">
                  <c:v>-1.1000000000000001</c:v>
                </c:pt>
                <c:pt idx="153">
                  <c:v>-0.9</c:v>
                </c:pt>
                <c:pt idx="154">
                  <c:v>-1</c:v>
                </c:pt>
                <c:pt idx="155">
                  <c:v>-1</c:v>
                </c:pt>
                <c:pt idx="156">
                  <c:v>0.8</c:v>
                </c:pt>
                <c:pt idx="157">
                  <c:v>1.2</c:v>
                </c:pt>
                <c:pt idx="15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EE-48F7-A0CF-B1624207C982}"/>
            </c:ext>
          </c:extLst>
        </c:ser>
        <c:ser>
          <c:idx val="7"/>
          <c:order val="7"/>
          <c:tx>
            <c:strRef>
              <c:f>inflacija!$D$105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mpd="sng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inflacija!$E$105:$FG$105</c:f>
              <c:numCache>
                <c:formatCode>#,##0.0</c:formatCode>
                <c:ptCount val="159"/>
                <c:pt idx="0">
                  <c:v>0.4</c:v>
                </c:pt>
                <c:pt idx="1">
                  <c:v>0.7</c:v>
                </c:pt>
                <c:pt idx="2">
                  <c:v>1.7</c:v>
                </c:pt>
                <c:pt idx="3">
                  <c:v>1.6</c:v>
                </c:pt>
                <c:pt idx="4">
                  <c:v>2.5</c:v>
                </c:pt>
                <c:pt idx="5">
                  <c:v>2.7</c:v>
                </c:pt>
                <c:pt idx="6">
                  <c:v>1.7</c:v>
                </c:pt>
                <c:pt idx="7">
                  <c:v>1.5</c:v>
                </c:pt>
                <c:pt idx="8">
                  <c:v>2.8</c:v>
                </c:pt>
                <c:pt idx="9">
                  <c:v>3.2</c:v>
                </c:pt>
                <c:pt idx="10">
                  <c:v>5.3</c:v>
                </c:pt>
                <c:pt idx="11">
                  <c:v>4.8</c:v>
                </c:pt>
                <c:pt idx="12">
                  <c:v>5.9</c:v>
                </c:pt>
                <c:pt idx="13">
                  <c:v>5.7</c:v>
                </c:pt>
                <c:pt idx="14">
                  <c:v>5.9</c:v>
                </c:pt>
                <c:pt idx="15">
                  <c:v>5.2</c:v>
                </c:pt>
                <c:pt idx="16">
                  <c:v>7.1</c:v>
                </c:pt>
                <c:pt idx="17">
                  <c:v>10</c:v>
                </c:pt>
                <c:pt idx="18">
                  <c:v>10.7</c:v>
                </c:pt>
                <c:pt idx="19">
                  <c:v>6.8</c:v>
                </c:pt>
                <c:pt idx="20">
                  <c:v>6</c:v>
                </c:pt>
                <c:pt idx="21">
                  <c:v>3.5</c:v>
                </c:pt>
                <c:pt idx="22">
                  <c:v>-2.2999999999999998</c:v>
                </c:pt>
                <c:pt idx="23">
                  <c:v>-5.4</c:v>
                </c:pt>
                <c:pt idx="24">
                  <c:v>-6.8</c:v>
                </c:pt>
                <c:pt idx="25">
                  <c:v>-6.4</c:v>
                </c:pt>
                <c:pt idx="26">
                  <c:v>-8.6999999999999993</c:v>
                </c:pt>
                <c:pt idx="27">
                  <c:v>-7.8</c:v>
                </c:pt>
                <c:pt idx="28">
                  <c:v>-9.5</c:v>
                </c:pt>
                <c:pt idx="29">
                  <c:v>-10.3</c:v>
                </c:pt>
                <c:pt idx="30">
                  <c:v>-10.7</c:v>
                </c:pt>
                <c:pt idx="31">
                  <c:v>-5.9</c:v>
                </c:pt>
                <c:pt idx="32">
                  <c:v>-6.9</c:v>
                </c:pt>
                <c:pt idx="33">
                  <c:v>-4.7</c:v>
                </c:pt>
                <c:pt idx="34">
                  <c:v>0.3</c:v>
                </c:pt>
                <c:pt idx="35">
                  <c:v>3.1</c:v>
                </c:pt>
                <c:pt idx="36">
                  <c:v>5.2</c:v>
                </c:pt>
                <c:pt idx="37">
                  <c:v>4.2</c:v>
                </c:pt>
                <c:pt idx="38">
                  <c:v>6.9</c:v>
                </c:pt>
                <c:pt idx="39">
                  <c:v>6.8</c:v>
                </c:pt>
                <c:pt idx="40">
                  <c:v>6</c:v>
                </c:pt>
                <c:pt idx="41">
                  <c:v>4.5</c:v>
                </c:pt>
                <c:pt idx="42">
                  <c:v>3.8</c:v>
                </c:pt>
                <c:pt idx="43">
                  <c:v>1.5</c:v>
                </c:pt>
                <c:pt idx="44">
                  <c:v>3.7</c:v>
                </c:pt>
                <c:pt idx="45">
                  <c:v>5.3</c:v>
                </c:pt>
                <c:pt idx="46">
                  <c:v>4.4000000000000004</c:v>
                </c:pt>
                <c:pt idx="47">
                  <c:v>6.7</c:v>
                </c:pt>
                <c:pt idx="48">
                  <c:v>5.5</c:v>
                </c:pt>
                <c:pt idx="49">
                  <c:v>6.3</c:v>
                </c:pt>
                <c:pt idx="50">
                  <c:v>6.7</c:v>
                </c:pt>
                <c:pt idx="51">
                  <c:v>7</c:v>
                </c:pt>
                <c:pt idx="52">
                  <c:v>6.4</c:v>
                </c:pt>
                <c:pt idx="53">
                  <c:v>6</c:v>
                </c:pt>
                <c:pt idx="54">
                  <c:v>5.9</c:v>
                </c:pt>
                <c:pt idx="55">
                  <c:v>7.6</c:v>
                </c:pt>
                <c:pt idx="56">
                  <c:v>7.4</c:v>
                </c:pt>
                <c:pt idx="57">
                  <c:v>5.4</c:v>
                </c:pt>
                <c:pt idx="58">
                  <c:v>4.5</c:v>
                </c:pt>
                <c:pt idx="59">
                  <c:v>2</c:v>
                </c:pt>
                <c:pt idx="60">
                  <c:v>2.2999999999999998</c:v>
                </c:pt>
                <c:pt idx="61">
                  <c:v>4.0999999999999996</c:v>
                </c:pt>
                <c:pt idx="62">
                  <c:v>4.9000000000000004</c:v>
                </c:pt>
                <c:pt idx="63">
                  <c:v>5.6</c:v>
                </c:pt>
                <c:pt idx="64">
                  <c:v>5.0999999999999996</c:v>
                </c:pt>
                <c:pt idx="65">
                  <c:v>3.4</c:v>
                </c:pt>
                <c:pt idx="66">
                  <c:v>2</c:v>
                </c:pt>
                <c:pt idx="67">
                  <c:v>2.9</c:v>
                </c:pt>
                <c:pt idx="68">
                  <c:v>5.2</c:v>
                </c:pt>
                <c:pt idx="69">
                  <c:v>4.9000000000000004</c:v>
                </c:pt>
                <c:pt idx="70">
                  <c:v>3.8</c:v>
                </c:pt>
                <c:pt idx="71">
                  <c:v>3.6</c:v>
                </c:pt>
                <c:pt idx="72">
                  <c:v>2.7</c:v>
                </c:pt>
                <c:pt idx="73">
                  <c:v>1.9</c:v>
                </c:pt>
                <c:pt idx="74">
                  <c:v>0.1</c:v>
                </c:pt>
                <c:pt idx="75">
                  <c:v>-3</c:v>
                </c:pt>
                <c:pt idx="76">
                  <c:v>-3.9</c:v>
                </c:pt>
                <c:pt idx="77">
                  <c:v>-1.4</c:v>
                </c:pt>
                <c:pt idx="78">
                  <c:v>0.2</c:v>
                </c:pt>
                <c:pt idx="79">
                  <c:v>0.2</c:v>
                </c:pt>
                <c:pt idx="80">
                  <c:v>-2</c:v>
                </c:pt>
                <c:pt idx="81">
                  <c:v>-2.2999999999999998</c:v>
                </c:pt>
                <c:pt idx="82">
                  <c:v>-1.6</c:v>
                </c:pt>
                <c:pt idx="83">
                  <c:v>-0.1</c:v>
                </c:pt>
                <c:pt idx="84">
                  <c:v>-0.2</c:v>
                </c:pt>
                <c:pt idx="85">
                  <c:v>-1.7</c:v>
                </c:pt>
                <c:pt idx="86">
                  <c:v>-1.7</c:v>
                </c:pt>
                <c:pt idx="87">
                  <c:v>-0.5</c:v>
                </c:pt>
                <c:pt idx="88">
                  <c:v>2.9</c:v>
                </c:pt>
                <c:pt idx="89">
                  <c:v>2.9</c:v>
                </c:pt>
                <c:pt idx="90">
                  <c:v>4.4000000000000004</c:v>
                </c:pt>
                <c:pt idx="91">
                  <c:v>1.6</c:v>
                </c:pt>
                <c:pt idx="92">
                  <c:v>0.2</c:v>
                </c:pt>
                <c:pt idx="93">
                  <c:v>0.7</c:v>
                </c:pt>
                <c:pt idx="94">
                  <c:v>-0.4</c:v>
                </c:pt>
                <c:pt idx="95">
                  <c:v>-2.9</c:v>
                </c:pt>
                <c:pt idx="96">
                  <c:v>-6.9</c:v>
                </c:pt>
                <c:pt idx="97">
                  <c:v>-6.9</c:v>
                </c:pt>
                <c:pt idx="98">
                  <c:v>-4.5999999999999996</c:v>
                </c:pt>
                <c:pt idx="99">
                  <c:v>-4.7</c:v>
                </c:pt>
                <c:pt idx="100">
                  <c:v>-4.4000000000000004</c:v>
                </c:pt>
                <c:pt idx="101">
                  <c:v>-4.5</c:v>
                </c:pt>
                <c:pt idx="102">
                  <c:v>-5.5</c:v>
                </c:pt>
                <c:pt idx="103">
                  <c:v>-6.7</c:v>
                </c:pt>
                <c:pt idx="104">
                  <c:v>-7.4</c:v>
                </c:pt>
                <c:pt idx="105">
                  <c:v>-8</c:v>
                </c:pt>
                <c:pt idx="106">
                  <c:v>-6.8</c:v>
                </c:pt>
                <c:pt idx="107">
                  <c:v>-5.4</c:v>
                </c:pt>
                <c:pt idx="108">
                  <c:v>-3</c:v>
                </c:pt>
                <c:pt idx="109">
                  <c:v>-3.9</c:v>
                </c:pt>
                <c:pt idx="110">
                  <c:v>-6.2</c:v>
                </c:pt>
                <c:pt idx="111">
                  <c:v>-5.2</c:v>
                </c:pt>
                <c:pt idx="112">
                  <c:v>-6.1</c:v>
                </c:pt>
                <c:pt idx="113">
                  <c:v>-5</c:v>
                </c:pt>
                <c:pt idx="114">
                  <c:v>-5.8</c:v>
                </c:pt>
                <c:pt idx="115">
                  <c:v>-4.9000000000000004</c:v>
                </c:pt>
                <c:pt idx="116">
                  <c:v>-2.2999999999999998</c:v>
                </c:pt>
                <c:pt idx="117">
                  <c:v>-1.1000000000000001</c:v>
                </c:pt>
                <c:pt idx="118">
                  <c:v>-0.3</c:v>
                </c:pt>
                <c:pt idx="119">
                  <c:v>1.2</c:v>
                </c:pt>
                <c:pt idx="120">
                  <c:v>4.5</c:v>
                </c:pt>
                <c:pt idx="121">
                  <c:v>5.4</c:v>
                </c:pt>
                <c:pt idx="122">
                  <c:v>4.3</c:v>
                </c:pt>
                <c:pt idx="123">
                  <c:v>3.1</c:v>
                </c:pt>
                <c:pt idx="124">
                  <c:v>1.8</c:v>
                </c:pt>
                <c:pt idx="125">
                  <c:v>0.8</c:v>
                </c:pt>
                <c:pt idx="126">
                  <c:v>0.5</c:v>
                </c:pt>
                <c:pt idx="127">
                  <c:v>2.4</c:v>
                </c:pt>
                <c:pt idx="128">
                  <c:v>1.9</c:v>
                </c:pt>
                <c:pt idx="129">
                  <c:v>1.8</c:v>
                </c:pt>
                <c:pt idx="130">
                  <c:v>2.4</c:v>
                </c:pt>
                <c:pt idx="131">
                  <c:v>1.9</c:v>
                </c:pt>
                <c:pt idx="132">
                  <c:v>0.6</c:v>
                </c:pt>
                <c:pt idx="133">
                  <c:v>0.3</c:v>
                </c:pt>
                <c:pt idx="134">
                  <c:v>-0.1</c:v>
                </c:pt>
                <c:pt idx="135">
                  <c:v>1.3</c:v>
                </c:pt>
                <c:pt idx="136">
                  <c:v>3.7</c:v>
                </c:pt>
                <c:pt idx="137">
                  <c:v>5.2</c:v>
                </c:pt>
                <c:pt idx="138">
                  <c:v>5.6</c:v>
                </c:pt>
                <c:pt idx="139">
                  <c:v>4.9000000000000004</c:v>
                </c:pt>
                <c:pt idx="140">
                  <c:v>5.4</c:v>
                </c:pt>
                <c:pt idx="141">
                  <c:v>5.2</c:v>
                </c:pt>
                <c:pt idx="142">
                  <c:v>2.4</c:v>
                </c:pt>
                <c:pt idx="143">
                  <c:v>0</c:v>
                </c:pt>
                <c:pt idx="144">
                  <c:v>-1.1000000000000001</c:v>
                </c:pt>
                <c:pt idx="145">
                  <c:v>-0.3</c:v>
                </c:pt>
                <c:pt idx="146">
                  <c:v>2.2000000000000002</c:v>
                </c:pt>
                <c:pt idx="147">
                  <c:v>2.5</c:v>
                </c:pt>
                <c:pt idx="148">
                  <c:v>1.3</c:v>
                </c:pt>
                <c:pt idx="149">
                  <c:v>-1.6</c:v>
                </c:pt>
                <c:pt idx="150">
                  <c:v>-1.5</c:v>
                </c:pt>
                <c:pt idx="151">
                  <c:v>-1.9</c:v>
                </c:pt>
                <c:pt idx="152">
                  <c:v>-3.3</c:v>
                </c:pt>
                <c:pt idx="153">
                  <c:v>-2.4</c:v>
                </c:pt>
                <c:pt idx="154">
                  <c:v>-0.8</c:v>
                </c:pt>
                <c:pt idx="155">
                  <c:v>1.7</c:v>
                </c:pt>
                <c:pt idx="156">
                  <c:v>3.6</c:v>
                </c:pt>
                <c:pt idx="157">
                  <c:v>0.8</c:v>
                </c:pt>
                <c:pt idx="158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EE-48F7-A0CF-B1624207C982}"/>
            </c:ext>
          </c:extLst>
        </c:ser>
        <c:ser>
          <c:idx val="8"/>
          <c:order val="8"/>
          <c:tx>
            <c:strRef>
              <c:f>inflacija!$D$106</c:f>
              <c:strCache>
                <c:ptCount val="1"/>
                <c:pt idx="0">
                  <c:v>Communications</c:v>
                </c:pt>
              </c:strCache>
            </c:strRef>
          </c:tx>
          <c:spPr>
            <a:ln w="28575" cmpd="sng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inflacija!$E$106:$FG$106</c:f>
              <c:numCache>
                <c:formatCode>#,##0.0</c:formatCode>
                <c:ptCount val="159"/>
                <c:pt idx="0">
                  <c:v>-0.2</c:v>
                </c:pt>
                <c:pt idx="1">
                  <c:v>-0.2</c:v>
                </c:pt>
                <c:pt idx="2">
                  <c:v>-0.3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-1.2</c:v>
                </c:pt>
                <c:pt idx="13">
                  <c:v>-1.3</c:v>
                </c:pt>
                <c:pt idx="14">
                  <c:v>-1.2</c:v>
                </c:pt>
                <c:pt idx="15">
                  <c:v>-1.3</c:v>
                </c:pt>
                <c:pt idx="16">
                  <c:v>-1.3</c:v>
                </c:pt>
                <c:pt idx="17">
                  <c:v>-1.3</c:v>
                </c:pt>
                <c:pt idx="18">
                  <c:v>-1.3</c:v>
                </c:pt>
                <c:pt idx="19">
                  <c:v>-1.4</c:v>
                </c:pt>
                <c:pt idx="20">
                  <c:v>-1.4</c:v>
                </c:pt>
                <c:pt idx="21">
                  <c:v>-1.6</c:v>
                </c:pt>
                <c:pt idx="22">
                  <c:v>-1.6</c:v>
                </c:pt>
                <c:pt idx="23">
                  <c:v>-1.7</c:v>
                </c:pt>
                <c:pt idx="24">
                  <c:v>-0.6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-0.1</c:v>
                </c:pt>
                <c:pt idx="38">
                  <c:v>0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-1.1000000000000001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-0.7</c:v>
                </c:pt>
                <c:pt idx="50">
                  <c:v>-0.8</c:v>
                </c:pt>
                <c:pt idx="51">
                  <c:v>-0.1</c:v>
                </c:pt>
                <c:pt idx="52">
                  <c:v>-2.6</c:v>
                </c:pt>
                <c:pt idx="53">
                  <c:v>-2.6</c:v>
                </c:pt>
                <c:pt idx="54">
                  <c:v>-2.7</c:v>
                </c:pt>
                <c:pt idx="55">
                  <c:v>-5.5</c:v>
                </c:pt>
                <c:pt idx="56">
                  <c:v>-7.4</c:v>
                </c:pt>
                <c:pt idx="57">
                  <c:v>-7.3</c:v>
                </c:pt>
                <c:pt idx="58">
                  <c:v>-7.4</c:v>
                </c:pt>
                <c:pt idx="59">
                  <c:v>-9.4</c:v>
                </c:pt>
                <c:pt idx="60">
                  <c:v>-9.4</c:v>
                </c:pt>
                <c:pt idx="61">
                  <c:v>-9.6</c:v>
                </c:pt>
                <c:pt idx="62">
                  <c:v>-8.6</c:v>
                </c:pt>
                <c:pt idx="63">
                  <c:v>-8.6</c:v>
                </c:pt>
                <c:pt idx="64">
                  <c:v>-5.8</c:v>
                </c:pt>
                <c:pt idx="65">
                  <c:v>-5.4</c:v>
                </c:pt>
                <c:pt idx="66">
                  <c:v>-5.2</c:v>
                </c:pt>
                <c:pt idx="67">
                  <c:v>-2.5</c:v>
                </c:pt>
                <c:pt idx="68">
                  <c:v>-1.4</c:v>
                </c:pt>
                <c:pt idx="69">
                  <c:v>-1.4</c:v>
                </c:pt>
                <c:pt idx="70">
                  <c:v>-1.5</c:v>
                </c:pt>
                <c:pt idx="71">
                  <c:v>-0.8</c:v>
                </c:pt>
                <c:pt idx="72">
                  <c:v>0.7</c:v>
                </c:pt>
                <c:pt idx="73">
                  <c:v>0.5</c:v>
                </c:pt>
                <c:pt idx="74">
                  <c:v>-0.6</c:v>
                </c:pt>
                <c:pt idx="75">
                  <c:v>-0.7</c:v>
                </c:pt>
                <c:pt idx="76">
                  <c:v>-3</c:v>
                </c:pt>
                <c:pt idx="77">
                  <c:v>-3.4</c:v>
                </c:pt>
                <c:pt idx="78">
                  <c:v>-3.5</c:v>
                </c:pt>
                <c:pt idx="79">
                  <c:v>-3.6</c:v>
                </c:pt>
                <c:pt idx="80">
                  <c:v>-2.7</c:v>
                </c:pt>
                <c:pt idx="81">
                  <c:v>-2.8</c:v>
                </c:pt>
                <c:pt idx="82">
                  <c:v>-2.6</c:v>
                </c:pt>
                <c:pt idx="83">
                  <c:v>-1.1000000000000001</c:v>
                </c:pt>
                <c:pt idx="84">
                  <c:v>-2.6</c:v>
                </c:pt>
                <c:pt idx="85">
                  <c:v>-1.8</c:v>
                </c:pt>
                <c:pt idx="86">
                  <c:v>-1.8</c:v>
                </c:pt>
                <c:pt idx="87">
                  <c:v>-2.2000000000000002</c:v>
                </c:pt>
                <c:pt idx="88">
                  <c:v>-0.2</c:v>
                </c:pt>
                <c:pt idx="89">
                  <c:v>0.1</c:v>
                </c:pt>
                <c:pt idx="90">
                  <c:v>0.2</c:v>
                </c:pt>
                <c:pt idx="91">
                  <c:v>0.4</c:v>
                </c:pt>
                <c:pt idx="92">
                  <c:v>0.4</c:v>
                </c:pt>
                <c:pt idx="93">
                  <c:v>1.4</c:v>
                </c:pt>
                <c:pt idx="94">
                  <c:v>1.4</c:v>
                </c:pt>
                <c:pt idx="95">
                  <c:v>1.5</c:v>
                </c:pt>
                <c:pt idx="96">
                  <c:v>1.7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1.7</c:v>
                </c:pt>
                <c:pt idx="100">
                  <c:v>1.7</c:v>
                </c:pt>
                <c:pt idx="101">
                  <c:v>1.3</c:v>
                </c:pt>
                <c:pt idx="102">
                  <c:v>1.3</c:v>
                </c:pt>
                <c:pt idx="103">
                  <c:v>1</c:v>
                </c:pt>
                <c:pt idx="104">
                  <c:v>1</c:v>
                </c:pt>
                <c:pt idx="105">
                  <c:v>-0.5</c:v>
                </c:pt>
                <c:pt idx="106">
                  <c:v>-0.3</c:v>
                </c:pt>
                <c:pt idx="107">
                  <c:v>-0.4</c:v>
                </c:pt>
                <c:pt idx="108">
                  <c:v>-0.6</c:v>
                </c:pt>
                <c:pt idx="109">
                  <c:v>-0.6</c:v>
                </c:pt>
                <c:pt idx="110">
                  <c:v>-0.9</c:v>
                </c:pt>
                <c:pt idx="111">
                  <c:v>-1.1000000000000001</c:v>
                </c:pt>
                <c:pt idx="112">
                  <c:v>-3.3</c:v>
                </c:pt>
                <c:pt idx="113">
                  <c:v>-3.2</c:v>
                </c:pt>
                <c:pt idx="114">
                  <c:v>-3.2</c:v>
                </c:pt>
                <c:pt idx="115">
                  <c:v>-3.1</c:v>
                </c:pt>
                <c:pt idx="116">
                  <c:v>-3.3</c:v>
                </c:pt>
                <c:pt idx="117">
                  <c:v>-2.8</c:v>
                </c:pt>
                <c:pt idx="118">
                  <c:v>-3</c:v>
                </c:pt>
                <c:pt idx="119">
                  <c:v>-2.9</c:v>
                </c:pt>
                <c:pt idx="120">
                  <c:v>-2.7</c:v>
                </c:pt>
                <c:pt idx="121">
                  <c:v>-2.7</c:v>
                </c:pt>
                <c:pt idx="122">
                  <c:v>-2.7</c:v>
                </c:pt>
                <c:pt idx="123">
                  <c:v>-3.1</c:v>
                </c:pt>
                <c:pt idx="124">
                  <c:v>-1.6</c:v>
                </c:pt>
                <c:pt idx="125">
                  <c:v>-0.3</c:v>
                </c:pt>
                <c:pt idx="126">
                  <c:v>-1.2</c:v>
                </c:pt>
                <c:pt idx="127">
                  <c:v>-1.1000000000000001</c:v>
                </c:pt>
                <c:pt idx="128">
                  <c:v>-1</c:v>
                </c:pt>
                <c:pt idx="129">
                  <c:v>-1.2</c:v>
                </c:pt>
                <c:pt idx="130">
                  <c:v>-0.5</c:v>
                </c:pt>
                <c:pt idx="131">
                  <c:v>-0.7</c:v>
                </c:pt>
                <c:pt idx="132">
                  <c:v>-0.8</c:v>
                </c:pt>
                <c:pt idx="133">
                  <c:v>-0.7</c:v>
                </c:pt>
                <c:pt idx="134">
                  <c:v>-0.4</c:v>
                </c:pt>
                <c:pt idx="135">
                  <c:v>0.1</c:v>
                </c:pt>
                <c:pt idx="136">
                  <c:v>0.8</c:v>
                </c:pt>
                <c:pt idx="137">
                  <c:v>-0.5</c:v>
                </c:pt>
                <c:pt idx="138">
                  <c:v>0.2</c:v>
                </c:pt>
                <c:pt idx="139">
                  <c:v>0</c:v>
                </c:pt>
                <c:pt idx="140">
                  <c:v>0.3</c:v>
                </c:pt>
                <c:pt idx="141">
                  <c:v>0.4</c:v>
                </c:pt>
                <c:pt idx="142">
                  <c:v>-0.3</c:v>
                </c:pt>
                <c:pt idx="143">
                  <c:v>-0.3</c:v>
                </c:pt>
                <c:pt idx="144">
                  <c:v>-0.4</c:v>
                </c:pt>
                <c:pt idx="145">
                  <c:v>-0.4</c:v>
                </c:pt>
                <c:pt idx="146">
                  <c:v>-0.3</c:v>
                </c:pt>
                <c:pt idx="147">
                  <c:v>-0.6</c:v>
                </c:pt>
                <c:pt idx="148">
                  <c:v>-1.8</c:v>
                </c:pt>
                <c:pt idx="149">
                  <c:v>-0.5</c:v>
                </c:pt>
                <c:pt idx="150">
                  <c:v>-0.5</c:v>
                </c:pt>
                <c:pt idx="151">
                  <c:v>-0.4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</c:v>
                </c:pt>
                <c:pt idx="156">
                  <c:v>0.3</c:v>
                </c:pt>
                <c:pt idx="157">
                  <c:v>0.2</c:v>
                </c:pt>
                <c:pt idx="15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EE-48F7-A0CF-B1624207C982}"/>
            </c:ext>
          </c:extLst>
        </c:ser>
        <c:ser>
          <c:idx val="9"/>
          <c:order val="9"/>
          <c:tx>
            <c:strRef>
              <c:f>inflacija!$D$107</c:f>
              <c:strCache>
                <c:ptCount val="1"/>
                <c:pt idx="0">
                  <c:v>Recreation and culture</c:v>
                </c:pt>
              </c:strCache>
            </c:strRef>
          </c:tx>
          <c:spPr>
            <a:ln w="28575" cmpd="sng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inflacija!$E$107:$FG$107</c:f>
              <c:numCache>
                <c:formatCode>#,##0.0</c:formatCode>
                <c:ptCount val="159"/>
                <c:pt idx="0">
                  <c:v>0.5</c:v>
                </c:pt>
                <c:pt idx="1">
                  <c:v>0.9</c:v>
                </c:pt>
                <c:pt idx="2">
                  <c:v>1.8</c:v>
                </c:pt>
                <c:pt idx="3">
                  <c:v>1.7</c:v>
                </c:pt>
                <c:pt idx="4">
                  <c:v>1.9</c:v>
                </c:pt>
                <c:pt idx="5">
                  <c:v>1</c:v>
                </c:pt>
                <c:pt idx="6">
                  <c:v>1.2</c:v>
                </c:pt>
                <c:pt idx="7">
                  <c:v>2.2000000000000002</c:v>
                </c:pt>
                <c:pt idx="8">
                  <c:v>2.4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1.8</c:v>
                </c:pt>
                <c:pt idx="14">
                  <c:v>1.1000000000000001</c:v>
                </c:pt>
                <c:pt idx="15">
                  <c:v>1</c:v>
                </c:pt>
                <c:pt idx="16">
                  <c:v>0.7</c:v>
                </c:pt>
                <c:pt idx="17">
                  <c:v>2</c:v>
                </c:pt>
                <c:pt idx="18">
                  <c:v>1.5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1.4</c:v>
                </c:pt>
                <c:pt idx="23">
                  <c:v>1</c:v>
                </c:pt>
                <c:pt idx="24">
                  <c:v>1</c:v>
                </c:pt>
                <c:pt idx="25">
                  <c:v>1.7</c:v>
                </c:pt>
                <c:pt idx="26">
                  <c:v>2.2000000000000002</c:v>
                </c:pt>
                <c:pt idx="27">
                  <c:v>2</c:v>
                </c:pt>
                <c:pt idx="28">
                  <c:v>2</c:v>
                </c:pt>
                <c:pt idx="29">
                  <c:v>1.9</c:v>
                </c:pt>
                <c:pt idx="30">
                  <c:v>2.7</c:v>
                </c:pt>
                <c:pt idx="31">
                  <c:v>1.6</c:v>
                </c:pt>
                <c:pt idx="32">
                  <c:v>1.4</c:v>
                </c:pt>
                <c:pt idx="33">
                  <c:v>1.8</c:v>
                </c:pt>
                <c:pt idx="34">
                  <c:v>1.9</c:v>
                </c:pt>
                <c:pt idx="35">
                  <c:v>2.2000000000000002</c:v>
                </c:pt>
                <c:pt idx="36">
                  <c:v>1.7</c:v>
                </c:pt>
                <c:pt idx="37">
                  <c:v>1.7</c:v>
                </c:pt>
                <c:pt idx="38">
                  <c:v>1.4</c:v>
                </c:pt>
                <c:pt idx="39">
                  <c:v>1.4</c:v>
                </c:pt>
                <c:pt idx="40">
                  <c:v>2.2000000000000002</c:v>
                </c:pt>
                <c:pt idx="41">
                  <c:v>2</c:v>
                </c:pt>
                <c:pt idx="42">
                  <c:v>2.4</c:v>
                </c:pt>
                <c:pt idx="43">
                  <c:v>2.5</c:v>
                </c:pt>
                <c:pt idx="44">
                  <c:v>1.1000000000000001</c:v>
                </c:pt>
                <c:pt idx="45">
                  <c:v>0.4</c:v>
                </c:pt>
                <c:pt idx="46">
                  <c:v>-0.1</c:v>
                </c:pt>
                <c:pt idx="47">
                  <c:v>-0.8</c:v>
                </c:pt>
                <c:pt idx="48">
                  <c:v>-0.9</c:v>
                </c:pt>
                <c:pt idx="49">
                  <c:v>-1.6</c:v>
                </c:pt>
                <c:pt idx="50">
                  <c:v>-1.6</c:v>
                </c:pt>
                <c:pt idx="51">
                  <c:v>-1.4</c:v>
                </c:pt>
                <c:pt idx="52">
                  <c:v>-2.1</c:v>
                </c:pt>
                <c:pt idx="53">
                  <c:v>-2.7</c:v>
                </c:pt>
                <c:pt idx="54">
                  <c:v>-3.7</c:v>
                </c:pt>
                <c:pt idx="55">
                  <c:v>-3.5</c:v>
                </c:pt>
                <c:pt idx="56">
                  <c:v>-2</c:v>
                </c:pt>
                <c:pt idx="57">
                  <c:v>-0.9</c:v>
                </c:pt>
                <c:pt idx="58">
                  <c:v>-0.9</c:v>
                </c:pt>
                <c:pt idx="59">
                  <c:v>-0.5</c:v>
                </c:pt>
                <c:pt idx="60">
                  <c:v>0</c:v>
                </c:pt>
                <c:pt idx="61">
                  <c:v>0.4</c:v>
                </c:pt>
                <c:pt idx="62">
                  <c:v>1.7</c:v>
                </c:pt>
                <c:pt idx="63">
                  <c:v>2.4</c:v>
                </c:pt>
                <c:pt idx="64">
                  <c:v>3.6</c:v>
                </c:pt>
                <c:pt idx="65">
                  <c:v>4.2</c:v>
                </c:pt>
                <c:pt idx="66">
                  <c:v>5</c:v>
                </c:pt>
                <c:pt idx="67">
                  <c:v>5</c:v>
                </c:pt>
                <c:pt idx="68">
                  <c:v>3.7</c:v>
                </c:pt>
                <c:pt idx="69">
                  <c:v>4.5999999999999996</c:v>
                </c:pt>
                <c:pt idx="70">
                  <c:v>3.6</c:v>
                </c:pt>
                <c:pt idx="71">
                  <c:v>3.5</c:v>
                </c:pt>
                <c:pt idx="72">
                  <c:v>3.7</c:v>
                </c:pt>
                <c:pt idx="73">
                  <c:v>4.2</c:v>
                </c:pt>
                <c:pt idx="74">
                  <c:v>3.7</c:v>
                </c:pt>
                <c:pt idx="75">
                  <c:v>3.4</c:v>
                </c:pt>
                <c:pt idx="76">
                  <c:v>2</c:v>
                </c:pt>
                <c:pt idx="77">
                  <c:v>1.9</c:v>
                </c:pt>
                <c:pt idx="78">
                  <c:v>2.6</c:v>
                </c:pt>
                <c:pt idx="79">
                  <c:v>2.8</c:v>
                </c:pt>
                <c:pt idx="80">
                  <c:v>1.9</c:v>
                </c:pt>
                <c:pt idx="81">
                  <c:v>0.6</c:v>
                </c:pt>
                <c:pt idx="82">
                  <c:v>0.7</c:v>
                </c:pt>
                <c:pt idx="83">
                  <c:v>1.6</c:v>
                </c:pt>
                <c:pt idx="84">
                  <c:v>2</c:v>
                </c:pt>
                <c:pt idx="85">
                  <c:v>1.6</c:v>
                </c:pt>
                <c:pt idx="86">
                  <c:v>0.6</c:v>
                </c:pt>
                <c:pt idx="87">
                  <c:v>0.1</c:v>
                </c:pt>
                <c:pt idx="88">
                  <c:v>1.5</c:v>
                </c:pt>
                <c:pt idx="89">
                  <c:v>1.8</c:v>
                </c:pt>
                <c:pt idx="90">
                  <c:v>1.8</c:v>
                </c:pt>
                <c:pt idx="91">
                  <c:v>3.5</c:v>
                </c:pt>
                <c:pt idx="92">
                  <c:v>3.9</c:v>
                </c:pt>
                <c:pt idx="93">
                  <c:v>3.6</c:v>
                </c:pt>
                <c:pt idx="94">
                  <c:v>3</c:v>
                </c:pt>
                <c:pt idx="95">
                  <c:v>2.2999999999999998</c:v>
                </c:pt>
                <c:pt idx="96">
                  <c:v>1.7</c:v>
                </c:pt>
                <c:pt idx="97">
                  <c:v>0.8</c:v>
                </c:pt>
                <c:pt idx="98">
                  <c:v>1.4</c:v>
                </c:pt>
                <c:pt idx="99">
                  <c:v>2.9</c:v>
                </c:pt>
                <c:pt idx="100">
                  <c:v>3</c:v>
                </c:pt>
                <c:pt idx="101">
                  <c:v>2.6</c:v>
                </c:pt>
                <c:pt idx="102">
                  <c:v>2.5</c:v>
                </c:pt>
                <c:pt idx="103">
                  <c:v>1.5</c:v>
                </c:pt>
                <c:pt idx="104">
                  <c:v>0.3</c:v>
                </c:pt>
                <c:pt idx="105">
                  <c:v>-0.9</c:v>
                </c:pt>
                <c:pt idx="106">
                  <c:v>-0.5</c:v>
                </c:pt>
                <c:pt idx="107">
                  <c:v>-0.7</c:v>
                </c:pt>
                <c:pt idx="108">
                  <c:v>-0.6</c:v>
                </c:pt>
                <c:pt idx="109">
                  <c:v>0.1</c:v>
                </c:pt>
                <c:pt idx="110">
                  <c:v>-0.2</c:v>
                </c:pt>
                <c:pt idx="111">
                  <c:v>-1.8</c:v>
                </c:pt>
                <c:pt idx="112">
                  <c:v>-3.1</c:v>
                </c:pt>
                <c:pt idx="113">
                  <c:v>-3.9</c:v>
                </c:pt>
                <c:pt idx="114">
                  <c:v>-5.2</c:v>
                </c:pt>
                <c:pt idx="115">
                  <c:v>-5.5</c:v>
                </c:pt>
                <c:pt idx="116">
                  <c:v>-2.6</c:v>
                </c:pt>
                <c:pt idx="117">
                  <c:v>0</c:v>
                </c:pt>
                <c:pt idx="118">
                  <c:v>1.2</c:v>
                </c:pt>
                <c:pt idx="119">
                  <c:v>1.8</c:v>
                </c:pt>
                <c:pt idx="120">
                  <c:v>1.6</c:v>
                </c:pt>
                <c:pt idx="121">
                  <c:v>1.8</c:v>
                </c:pt>
                <c:pt idx="122">
                  <c:v>1.4</c:v>
                </c:pt>
                <c:pt idx="123">
                  <c:v>0.9</c:v>
                </c:pt>
                <c:pt idx="124">
                  <c:v>1.2</c:v>
                </c:pt>
                <c:pt idx="125">
                  <c:v>1.3</c:v>
                </c:pt>
                <c:pt idx="126">
                  <c:v>1.3</c:v>
                </c:pt>
                <c:pt idx="127">
                  <c:v>0.8</c:v>
                </c:pt>
                <c:pt idx="128">
                  <c:v>0.9</c:v>
                </c:pt>
                <c:pt idx="129">
                  <c:v>0.6</c:v>
                </c:pt>
                <c:pt idx="130">
                  <c:v>1</c:v>
                </c:pt>
                <c:pt idx="131">
                  <c:v>0.4</c:v>
                </c:pt>
                <c:pt idx="132">
                  <c:v>0.3</c:v>
                </c:pt>
                <c:pt idx="133">
                  <c:v>0.1</c:v>
                </c:pt>
                <c:pt idx="134">
                  <c:v>0.5</c:v>
                </c:pt>
                <c:pt idx="135">
                  <c:v>1.2</c:v>
                </c:pt>
                <c:pt idx="136">
                  <c:v>1</c:v>
                </c:pt>
                <c:pt idx="137">
                  <c:v>1</c:v>
                </c:pt>
                <c:pt idx="138">
                  <c:v>0.3</c:v>
                </c:pt>
                <c:pt idx="139">
                  <c:v>0.4</c:v>
                </c:pt>
                <c:pt idx="140">
                  <c:v>1.3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0.9</c:v>
                </c:pt>
                <c:pt idx="144">
                  <c:v>0.9</c:v>
                </c:pt>
                <c:pt idx="145">
                  <c:v>0.8</c:v>
                </c:pt>
                <c:pt idx="146">
                  <c:v>0.9</c:v>
                </c:pt>
                <c:pt idx="147">
                  <c:v>0.7</c:v>
                </c:pt>
                <c:pt idx="148">
                  <c:v>0.6</c:v>
                </c:pt>
                <c:pt idx="149">
                  <c:v>0.7</c:v>
                </c:pt>
                <c:pt idx="150">
                  <c:v>1.8</c:v>
                </c:pt>
                <c:pt idx="151">
                  <c:v>1.6</c:v>
                </c:pt>
                <c:pt idx="152">
                  <c:v>-0.1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0.4</c:v>
                </c:pt>
                <c:pt idx="157">
                  <c:v>0.4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EE-48F7-A0CF-B1624207C982}"/>
            </c:ext>
          </c:extLst>
        </c:ser>
        <c:ser>
          <c:idx val="10"/>
          <c:order val="10"/>
          <c:tx>
            <c:strRef>
              <c:f>inflacija!$D$108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inflacija!$E$108:$FG$108</c:f>
              <c:numCache>
                <c:formatCode>#,##0.0</c:formatCode>
                <c:ptCount val="159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0.7</c:v>
                </c:pt>
                <c:pt idx="7">
                  <c:v>0.8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2.8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3.1</c:v>
                </c:pt>
                <c:pt idx="30">
                  <c:v>2.6</c:v>
                </c:pt>
                <c:pt idx="31">
                  <c:v>2.5</c:v>
                </c:pt>
                <c:pt idx="32">
                  <c:v>2.6</c:v>
                </c:pt>
                <c:pt idx="33">
                  <c:v>2.6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1.7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-8.8000000000000007</c:v>
                </c:pt>
                <c:pt idx="45">
                  <c:v>-8.8000000000000007</c:v>
                </c:pt>
                <c:pt idx="46">
                  <c:v>-8.9</c:v>
                </c:pt>
                <c:pt idx="47">
                  <c:v>-8.9</c:v>
                </c:pt>
                <c:pt idx="48">
                  <c:v>-8.9</c:v>
                </c:pt>
                <c:pt idx="49">
                  <c:v>-8.9</c:v>
                </c:pt>
                <c:pt idx="50">
                  <c:v>-8.9</c:v>
                </c:pt>
                <c:pt idx="51">
                  <c:v>-8.9</c:v>
                </c:pt>
                <c:pt idx="52">
                  <c:v>-8.9</c:v>
                </c:pt>
                <c:pt idx="53">
                  <c:v>-8.9</c:v>
                </c:pt>
                <c:pt idx="54">
                  <c:v>-9.4</c:v>
                </c:pt>
                <c:pt idx="55">
                  <c:v>-9.4</c:v>
                </c:pt>
                <c:pt idx="56">
                  <c:v>0.7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-0.5</c:v>
                </c:pt>
                <c:pt idx="65">
                  <c:v>-0.4</c:v>
                </c:pt>
                <c:pt idx="66">
                  <c:v>0.1</c:v>
                </c:pt>
                <c:pt idx="67">
                  <c:v>-0.6</c:v>
                </c:pt>
                <c:pt idx="68">
                  <c:v>-0.7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0.9</c:v>
                </c:pt>
                <c:pt idx="73">
                  <c:v>0.9</c:v>
                </c:pt>
                <c:pt idx="74">
                  <c:v>0.8</c:v>
                </c:pt>
                <c:pt idx="75">
                  <c:v>0.8</c:v>
                </c:pt>
                <c:pt idx="76">
                  <c:v>0.5</c:v>
                </c:pt>
                <c:pt idx="77">
                  <c:v>0.5</c:v>
                </c:pt>
                <c:pt idx="78">
                  <c:v>0.3</c:v>
                </c:pt>
                <c:pt idx="79">
                  <c:v>0.9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-0.8</c:v>
                </c:pt>
                <c:pt idx="103">
                  <c:v>-0.9</c:v>
                </c:pt>
                <c:pt idx="104">
                  <c:v>-1</c:v>
                </c:pt>
                <c:pt idx="105">
                  <c:v>-1.1000000000000001</c:v>
                </c:pt>
                <c:pt idx="106">
                  <c:v>-1.1000000000000001</c:v>
                </c:pt>
                <c:pt idx="107">
                  <c:v>-1.1000000000000001</c:v>
                </c:pt>
                <c:pt idx="108">
                  <c:v>-1.2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-0.9</c:v>
                </c:pt>
                <c:pt idx="114">
                  <c:v>0.6</c:v>
                </c:pt>
                <c:pt idx="115">
                  <c:v>0.7</c:v>
                </c:pt>
                <c:pt idx="116">
                  <c:v>0.7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</c:v>
                </c:pt>
                <c:pt idx="126">
                  <c:v>0.3</c:v>
                </c:pt>
                <c:pt idx="127">
                  <c:v>0.3</c:v>
                </c:pt>
                <c:pt idx="128">
                  <c:v>0.7</c:v>
                </c:pt>
                <c:pt idx="129">
                  <c:v>0.4</c:v>
                </c:pt>
                <c:pt idx="130">
                  <c:v>0.4</c:v>
                </c:pt>
                <c:pt idx="131">
                  <c:v>0.5</c:v>
                </c:pt>
                <c:pt idx="132">
                  <c:v>0.4</c:v>
                </c:pt>
                <c:pt idx="133">
                  <c:v>0.3</c:v>
                </c:pt>
                <c:pt idx="134">
                  <c:v>0.3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0.1</c:v>
                </c:pt>
                <c:pt idx="139">
                  <c:v>0.1</c:v>
                </c:pt>
                <c:pt idx="140">
                  <c:v>-0.2</c:v>
                </c:pt>
                <c:pt idx="141">
                  <c:v>0.8</c:v>
                </c:pt>
                <c:pt idx="142">
                  <c:v>0.8</c:v>
                </c:pt>
                <c:pt idx="143">
                  <c:v>0.7</c:v>
                </c:pt>
                <c:pt idx="144">
                  <c:v>0.8</c:v>
                </c:pt>
                <c:pt idx="145">
                  <c:v>0.9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0.4</c:v>
                </c:pt>
                <c:pt idx="157">
                  <c:v>0.4</c:v>
                </c:pt>
                <c:pt idx="158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EE-48F7-A0CF-B1624207C982}"/>
            </c:ext>
          </c:extLst>
        </c:ser>
        <c:ser>
          <c:idx val="11"/>
          <c:order val="11"/>
          <c:tx>
            <c:strRef>
              <c:f>inflacija!$D$109</c:f>
              <c:strCache>
                <c:ptCount val="1"/>
                <c:pt idx="0">
                  <c:v>Restaurants and hotels</c:v>
                </c:pt>
              </c:strCache>
            </c:strRef>
          </c:tx>
          <c:spPr>
            <a:ln w="28575" cmpd="sng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inflacija!$E$109:$FG$109</c:f>
              <c:numCache>
                <c:formatCode>#,##0.0</c:formatCode>
                <c:ptCount val="159"/>
                <c:pt idx="0">
                  <c:v>2.6</c:v>
                </c:pt>
                <c:pt idx="1">
                  <c:v>2.5</c:v>
                </c:pt>
                <c:pt idx="2">
                  <c:v>2.7</c:v>
                </c:pt>
                <c:pt idx="3">
                  <c:v>2.5</c:v>
                </c:pt>
                <c:pt idx="4">
                  <c:v>2.1</c:v>
                </c:pt>
                <c:pt idx="5">
                  <c:v>0.4</c:v>
                </c:pt>
                <c:pt idx="6">
                  <c:v>1.9</c:v>
                </c:pt>
                <c:pt idx="7">
                  <c:v>1.4</c:v>
                </c:pt>
                <c:pt idx="8">
                  <c:v>1.4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2.5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6</c:v>
                </c:pt>
                <c:pt idx="17">
                  <c:v>6.4</c:v>
                </c:pt>
                <c:pt idx="18">
                  <c:v>6.5</c:v>
                </c:pt>
                <c:pt idx="19">
                  <c:v>6.9</c:v>
                </c:pt>
                <c:pt idx="20">
                  <c:v>7.2</c:v>
                </c:pt>
                <c:pt idx="21">
                  <c:v>6.7</c:v>
                </c:pt>
                <c:pt idx="22">
                  <c:v>6.5</c:v>
                </c:pt>
                <c:pt idx="23">
                  <c:v>6.5</c:v>
                </c:pt>
                <c:pt idx="24">
                  <c:v>6.1</c:v>
                </c:pt>
                <c:pt idx="25">
                  <c:v>6.4</c:v>
                </c:pt>
                <c:pt idx="26">
                  <c:v>5.2</c:v>
                </c:pt>
                <c:pt idx="27">
                  <c:v>4.5999999999999996</c:v>
                </c:pt>
                <c:pt idx="28">
                  <c:v>3.6</c:v>
                </c:pt>
                <c:pt idx="29">
                  <c:v>4.5999999999999996</c:v>
                </c:pt>
                <c:pt idx="30">
                  <c:v>5</c:v>
                </c:pt>
                <c:pt idx="31">
                  <c:v>4.4000000000000004</c:v>
                </c:pt>
                <c:pt idx="32">
                  <c:v>3.4</c:v>
                </c:pt>
                <c:pt idx="33">
                  <c:v>3.5</c:v>
                </c:pt>
                <c:pt idx="34">
                  <c:v>4.0999999999999996</c:v>
                </c:pt>
                <c:pt idx="35">
                  <c:v>3.7</c:v>
                </c:pt>
                <c:pt idx="36">
                  <c:v>4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2</c:v>
                </c:pt>
                <c:pt idx="43">
                  <c:v>2.7</c:v>
                </c:pt>
                <c:pt idx="44">
                  <c:v>2.1</c:v>
                </c:pt>
                <c:pt idx="45">
                  <c:v>2.2000000000000002</c:v>
                </c:pt>
                <c:pt idx="46">
                  <c:v>1.1000000000000001</c:v>
                </c:pt>
                <c:pt idx="47">
                  <c:v>0.3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0.5</c:v>
                </c:pt>
                <c:pt idx="52">
                  <c:v>0.3</c:v>
                </c:pt>
                <c:pt idx="53">
                  <c:v>1.3</c:v>
                </c:pt>
                <c:pt idx="54">
                  <c:v>1.9</c:v>
                </c:pt>
                <c:pt idx="55">
                  <c:v>2</c:v>
                </c:pt>
                <c:pt idx="56">
                  <c:v>0.7</c:v>
                </c:pt>
                <c:pt idx="57">
                  <c:v>0.4</c:v>
                </c:pt>
                <c:pt idx="58">
                  <c:v>0.5</c:v>
                </c:pt>
                <c:pt idx="59">
                  <c:v>0.9</c:v>
                </c:pt>
                <c:pt idx="60">
                  <c:v>0.7</c:v>
                </c:pt>
                <c:pt idx="61">
                  <c:v>0.3</c:v>
                </c:pt>
                <c:pt idx="62">
                  <c:v>1.6</c:v>
                </c:pt>
                <c:pt idx="63">
                  <c:v>1.8</c:v>
                </c:pt>
                <c:pt idx="64">
                  <c:v>-0.8</c:v>
                </c:pt>
                <c:pt idx="65">
                  <c:v>-2.2999999999999998</c:v>
                </c:pt>
                <c:pt idx="66">
                  <c:v>-4.3</c:v>
                </c:pt>
                <c:pt idx="67">
                  <c:v>-4.3</c:v>
                </c:pt>
                <c:pt idx="68">
                  <c:v>-1.2</c:v>
                </c:pt>
                <c:pt idx="69">
                  <c:v>1.1000000000000001</c:v>
                </c:pt>
                <c:pt idx="70">
                  <c:v>1</c:v>
                </c:pt>
                <c:pt idx="71">
                  <c:v>0.9</c:v>
                </c:pt>
                <c:pt idx="72">
                  <c:v>0.7</c:v>
                </c:pt>
                <c:pt idx="73">
                  <c:v>1.1000000000000001</c:v>
                </c:pt>
                <c:pt idx="74">
                  <c:v>0.2</c:v>
                </c:pt>
                <c:pt idx="75">
                  <c:v>1.5</c:v>
                </c:pt>
                <c:pt idx="76">
                  <c:v>4</c:v>
                </c:pt>
                <c:pt idx="77">
                  <c:v>3.5</c:v>
                </c:pt>
                <c:pt idx="78">
                  <c:v>3.6</c:v>
                </c:pt>
                <c:pt idx="79">
                  <c:v>3.1</c:v>
                </c:pt>
                <c:pt idx="80">
                  <c:v>5.8</c:v>
                </c:pt>
                <c:pt idx="81">
                  <c:v>3.9</c:v>
                </c:pt>
                <c:pt idx="82">
                  <c:v>1.3</c:v>
                </c:pt>
                <c:pt idx="83">
                  <c:v>-0.2</c:v>
                </c:pt>
                <c:pt idx="84">
                  <c:v>0.3</c:v>
                </c:pt>
                <c:pt idx="85">
                  <c:v>0.3</c:v>
                </c:pt>
                <c:pt idx="86">
                  <c:v>0.2</c:v>
                </c:pt>
                <c:pt idx="87">
                  <c:v>0.6</c:v>
                </c:pt>
                <c:pt idx="88">
                  <c:v>1.8</c:v>
                </c:pt>
                <c:pt idx="89">
                  <c:v>2.9</c:v>
                </c:pt>
                <c:pt idx="90">
                  <c:v>0.9</c:v>
                </c:pt>
                <c:pt idx="91">
                  <c:v>1.1000000000000001</c:v>
                </c:pt>
                <c:pt idx="92">
                  <c:v>0.9</c:v>
                </c:pt>
                <c:pt idx="93">
                  <c:v>0.3</c:v>
                </c:pt>
                <c:pt idx="94">
                  <c:v>0.8</c:v>
                </c:pt>
                <c:pt idx="95">
                  <c:v>2.6</c:v>
                </c:pt>
                <c:pt idx="96">
                  <c:v>2.5</c:v>
                </c:pt>
                <c:pt idx="97">
                  <c:v>2</c:v>
                </c:pt>
                <c:pt idx="98">
                  <c:v>1.3</c:v>
                </c:pt>
                <c:pt idx="99">
                  <c:v>1.6</c:v>
                </c:pt>
                <c:pt idx="100">
                  <c:v>1.6</c:v>
                </c:pt>
                <c:pt idx="101">
                  <c:v>2.2999999999999998</c:v>
                </c:pt>
                <c:pt idx="102">
                  <c:v>3.3</c:v>
                </c:pt>
                <c:pt idx="103">
                  <c:v>3.4</c:v>
                </c:pt>
                <c:pt idx="104">
                  <c:v>1.6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2.2999999999999998</c:v>
                </c:pt>
                <c:pt idx="109">
                  <c:v>1.8</c:v>
                </c:pt>
                <c:pt idx="110">
                  <c:v>2</c:v>
                </c:pt>
                <c:pt idx="111">
                  <c:v>2</c:v>
                </c:pt>
                <c:pt idx="112">
                  <c:v>0.5</c:v>
                </c:pt>
                <c:pt idx="113">
                  <c:v>-1.2</c:v>
                </c:pt>
                <c:pt idx="114">
                  <c:v>-0.5</c:v>
                </c:pt>
                <c:pt idx="115">
                  <c:v>-0.9</c:v>
                </c:pt>
                <c:pt idx="116">
                  <c:v>0.1</c:v>
                </c:pt>
                <c:pt idx="117">
                  <c:v>-0.3</c:v>
                </c:pt>
                <c:pt idx="118">
                  <c:v>0.8</c:v>
                </c:pt>
                <c:pt idx="119">
                  <c:v>1.1000000000000001</c:v>
                </c:pt>
                <c:pt idx="120">
                  <c:v>0.2</c:v>
                </c:pt>
                <c:pt idx="121">
                  <c:v>1</c:v>
                </c:pt>
                <c:pt idx="122">
                  <c:v>1.1000000000000001</c:v>
                </c:pt>
                <c:pt idx="123">
                  <c:v>1.9</c:v>
                </c:pt>
                <c:pt idx="124">
                  <c:v>1.7</c:v>
                </c:pt>
                <c:pt idx="125">
                  <c:v>4.3</c:v>
                </c:pt>
                <c:pt idx="126">
                  <c:v>4.5999999999999996</c:v>
                </c:pt>
                <c:pt idx="127">
                  <c:v>5</c:v>
                </c:pt>
                <c:pt idx="128">
                  <c:v>4.2</c:v>
                </c:pt>
                <c:pt idx="129">
                  <c:v>4.3</c:v>
                </c:pt>
                <c:pt idx="130">
                  <c:v>3.9</c:v>
                </c:pt>
                <c:pt idx="131">
                  <c:v>3.4</c:v>
                </c:pt>
                <c:pt idx="132">
                  <c:v>3.3</c:v>
                </c:pt>
                <c:pt idx="133">
                  <c:v>2.6</c:v>
                </c:pt>
                <c:pt idx="134">
                  <c:v>2.7</c:v>
                </c:pt>
                <c:pt idx="135">
                  <c:v>2.2000000000000002</c:v>
                </c:pt>
                <c:pt idx="136">
                  <c:v>1.6</c:v>
                </c:pt>
                <c:pt idx="137">
                  <c:v>1.5</c:v>
                </c:pt>
                <c:pt idx="138">
                  <c:v>3.4</c:v>
                </c:pt>
                <c:pt idx="139">
                  <c:v>2.6</c:v>
                </c:pt>
                <c:pt idx="140">
                  <c:v>2.6</c:v>
                </c:pt>
                <c:pt idx="141">
                  <c:v>2</c:v>
                </c:pt>
                <c:pt idx="142">
                  <c:v>2.4</c:v>
                </c:pt>
                <c:pt idx="143">
                  <c:v>2.5</c:v>
                </c:pt>
                <c:pt idx="144">
                  <c:v>2.7</c:v>
                </c:pt>
                <c:pt idx="145">
                  <c:v>3</c:v>
                </c:pt>
                <c:pt idx="146">
                  <c:v>2.7</c:v>
                </c:pt>
                <c:pt idx="147">
                  <c:v>2.4</c:v>
                </c:pt>
                <c:pt idx="148">
                  <c:v>3.5</c:v>
                </c:pt>
                <c:pt idx="149">
                  <c:v>2.2000000000000002</c:v>
                </c:pt>
                <c:pt idx="150">
                  <c:v>2.1</c:v>
                </c:pt>
                <c:pt idx="151">
                  <c:v>1.3</c:v>
                </c:pt>
                <c:pt idx="152">
                  <c:v>1.6</c:v>
                </c:pt>
                <c:pt idx="153">
                  <c:v>2.4</c:v>
                </c:pt>
                <c:pt idx="154">
                  <c:v>1.9</c:v>
                </c:pt>
                <c:pt idx="155">
                  <c:v>2.4</c:v>
                </c:pt>
                <c:pt idx="156">
                  <c:v>1.7</c:v>
                </c:pt>
                <c:pt idx="157">
                  <c:v>1.3</c:v>
                </c:pt>
                <c:pt idx="15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EE-48F7-A0CF-B1624207C982}"/>
            </c:ext>
          </c:extLst>
        </c:ser>
        <c:ser>
          <c:idx val="12"/>
          <c:order val="12"/>
          <c:tx>
            <c:strRef>
              <c:f>inflacija!$D$110</c:f>
              <c:strCache>
                <c:ptCount val="1"/>
                <c:pt idx="0">
                  <c:v>Miscellaneous goods and services</c:v>
                </c:pt>
              </c:strCache>
            </c:strRef>
          </c:tx>
          <c:spPr>
            <a:ln w="28575" cmpd="sng">
              <a:solidFill>
                <a:schemeClr val="accent1"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inflacija!$E$110:$FG$110</c:f>
              <c:numCache>
                <c:formatCode>#,##0.0</c:formatCode>
                <c:ptCount val="159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2.8</c:v>
                </c:pt>
                <c:pt idx="4">
                  <c:v>3.1</c:v>
                </c:pt>
                <c:pt idx="5">
                  <c:v>3</c:v>
                </c:pt>
                <c:pt idx="6">
                  <c:v>3</c:v>
                </c:pt>
                <c:pt idx="7">
                  <c:v>3.2</c:v>
                </c:pt>
                <c:pt idx="8">
                  <c:v>3.1</c:v>
                </c:pt>
                <c:pt idx="9">
                  <c:v>3.6</c:v>
                </c:pt>
                <c:pt idx="10">
                  <c:v>3.9</c:v>
                </c:pt>
                <c:pt idx="11">
                  <c:v>4.0999999999999996</c:v>
                </c:pt>
                <c:pt idx="12">
                  <c:v>3.6</c:v>
                </c:pt>
                <c:pt idx="13">
                  <c:v>3.8</c:v>
                </c:pt>
                <c:pt idx="14">
                  <c:v>3.9</c:v>
                </c:pt>
                <c:pt idx="15">
                  <c:v>4.3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4.3</c:v>
                </c:pt>
                <c:pt idx="25">
                  <c:v>4.2</c:v>
                </c:pt>
                <c:pt idx="26">
                  <c:v>4.0999999999999996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</c:v>
                </c:pt>
                <c:pt idx="31">
                  <c:v>3.8</c:v>
                </c:pt>
                <c:pt idx="32">
                  <c:v>3.4</c:v>
                </c:pt>
                <c:pt idx="33">
                  <c:v>3.2</c:v>
                </c:pt>
                <c:pt idx="34">
                  <c:v>2.8</c:v>
                </c:pt>
                <c:pt idx="35">
                  <c:v>2.6</c:v>
                </c:pt>
                <c:pt idx="36">
                  <c:v>2.7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1.9</c:v>
                </c:pt>
                <c:pt idx="40">
                  <c:v>1.8</c:v>
                </c:pt>
                <c:pt idx="41">
                  <c:v>1.2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1.3</c:v>
                </c:pt>
                <c:pt idx="45">
                  <c:v>1.5</c:v>
                </c:pt>
                <c:pt idx="46">
                  <c:v>1.3</c:v>
                </c:pt>
                <c:pt idx="47">
                  <c:v>1.2</c:v>
                </c:pt>
                <c:pt idx="48">
                  <c:v>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1.4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1.7</c:v>
                </c:pt>
                <c:pt idx="58">
                  <c:v>1.7</c:v>
                </c:pt>
                <c:pt idx="59">
                  <c:v>2</c:v>
                </c:pt>
                <c:pt idx="60">
                  <c:v>1.7</c:v>
                </c:pt>
                <c:pt idx="61">
                  <c:v>1.6</c:v>
                </c:pt>
                <c:pt idx="62">
                  <c:v>1.8</c:v>
                </c:pt>
                <c:pt idx="63">
                  <c:v>1.9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2.2999999999999998</c:v>
                </c:pt>
                <c:pt idx="68">
                  <c:v>1.9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2.5</c:v>
                </c:pt>
                <c:pt idx="73">
                  <c:v>2.2999999999999998</c:v>
                </c:pt>
                <c:pt idx="74">
                  <c:v>2</c:v>
                </c:pt>
                <c:pt idx="75">
                  <c:v>2</c:v>
                </c:pt>
                <c:pt idx="76">
                  <c:v>1.3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</c:v>
                </c:pt>
                <c:pt idx="80">
                  <c:v>1.4</c:v>
                </c:pt>
                <c:pt idx="81">
                  <c:v>1.3</c:v>
                </c:pt>
                <c:pt idx="82">
                  <c:v>1.3</c:v>
                </c:pt>
                <c:pt idx="83">
                  <c:v>1</c:v>
                </c:pt>
                <c:pt idx="84">
                  <c:v>0.7</c:v>
                </c:pt>
                <c:pt idx="85">
                  <c:v>0.5</c:v>
                </c:pt>
                <c:pt idx="86">
                  <c:v>0.6</c:v>
                </c:pt>
                <c:pt idx="87">
                  <c:v>0.2</c:v>
                </c:pt>
                <c:pt idx="88">
                  <c:v>-0.1</c:v>
                </c:pt>
                <c:pt idx="89">
                  <c:v>0</c:v>
                </c:pt>
                <c:pt idx="90">
                  <c:v>-0.1</c:v>
                </c:pt>
                <c:pt idx="91">
                  <c:v>-0.2</c:v>
                </c:pt>
                <c:pt idx="92">
                  <c:v>-0.4</c:v>
                </c:pt>
                <c:pt idx="93">
                  <c:v>-1.1000000000000001</c:v>
                </c:pt>
                <c:pt idx="94">
                  <c:v>-1</c:v>
                </c:pt>
                <c:pt idx="95">
                  <c:v>-0.8</c:v>
                </c:pt>
                <c:pt idx="96">
                  <c:v>-0.5</c:v>
                </c:pt>
                <c:pt idx="97">
                  <c:v>-0.3</c:v>
                </c:pt>
                <c:pt idx="98">
                  <c:v>-0.6</c:v>
                </c:pt>
                <c:pt idx="99">
                  <c:v>-0.2</c:v>
                </c:pt>
                <c:pt idx="100">
                  <c:v>-0.1</c:v>
                </c:pt>
                <c:pt idx="101">
                  <c:v>0.3</c:v>
                </c:pt>
                <c:pt idx="102">
                  <c:v>0.2</c:v>
                </c:pt>
                <c:pt idx="103">
                  <c:v>0.6</c:v>
                </c:pt>
                <c:pt idx="104">
                  <c:v>0.3</c:v>
                </c:pt>
                <c:pt idx="105">
                  <c:v>0.5</c:v>
                </c:pt>
                <c:pt idx="106">
                  <c:v>0.3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0.4</c:v>
                </c:pt>
                <c:pt idx="112">
                  <c:v>0.6</c:v>
                </c:pt>
                <c:pt idx="113">
                  <c:v>0.5</c:v>
                </c:pt>
                <c:pt idx="114">
                  <c:v>0.6</c:v>
                </c:pt>
                <c:pt idx="115">
                  <c:v>0.3</c:v>
                </c:pt>
                <c:pt idx="116">
                  <c:v>0.7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0.9</c:v>
                </c:pt>
                <c:pt idx="121">
                  <c:v>0.8</c:v>
                </c:pt>
                <c:pt idx="122">
                  <c:v>0.9</c:v>
                </c:pt>
                <c:pt idx="123">
                  <c:v>0.8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0.4</c:v>
                </c:pt>
                <c:pt idx="128">
                  <c:v>0.3</c:v>
                </c:pt>
                <c:pt idx="129">
                  <c:v>0.8</c:v>
                </c:pt>
                <c:pt idx="130">
                  <c:v>0.6</c:v>
                </c:pt>
                <c:pt idx="131">
                  <c:v>0.5</c:v>
                </c:pt>
                <c:pt idx="132">
                  <c:v>0.7</c:v>
                </c:pt>
                <c:pt idx="133">
                  <c:v>1</c:v>
                </c:pt>
                <c:pt idx="134">
                  <c:v>0.8</c:v>
                </c:pt>
                <c:pt idx="135">
                  <c:v>0.7</c:v>
                </c:pt>
                <c:pt idx="136">
                  <c:v>0.9</c:v>
                </c:pt>
                <c:pt idx="137">
                  <c:v>1.1000000000000001</c:v>
                </c:pt>
                <c:pt idx="138">
                  <c:v>1.4</c:v>
                </c:pt>
                <c:pt idx="139">
                  <c:v>1.6</c:v>
                </c:pt>
                <c:pt idx="140">
                  <c:v>1.4</c:v>
                </c:pt>
                <c:pt idx="141">
                  <c:v>0.1</c:v>
                </c:pt>
                <c:pt idx="142">
                  <c:v>0.3</c:v>
                </c:pt>
                <c:pt idx="143">
                  <c:v>0.2</c:v>
                </c:pt>
                <c:pt idx="144">
                  <c:v>0.1</c:v>
                </c:pt>
                <c:pt idx="145">
                  <c:v>0</c:v>
                </c:pt>
                <c:pt idx="146">
                  <c:v>0.2</c:v>
                </c:pt>
                <c:pt idx="147">
                  <c:v>0.2</c:v>
                </c:pt>
                <c:pt idx="148">
                  <c:v>0.3</c:v>
                </c:pt>
                <c:pt idx="149">
                  <c:v>0.1</c:v>
                </c:pt>
                <c:pt idx="150">
                  <c:v>0</c:v>
                </c:pt>
                <c:pt idx="151">
                  <c:v>-0.3</c:v>
                </c:pt>
                <c:pt idx="152">
                  <c:v>0.5</c:v>
                </c:pt>
                <c:pt idx="153">
                  <c:v>1.8</c:v>
                </c:pt>
                <c:pt idx="154">
                  <c:v>1.4</c:v>
                </c:pt>
                <c:pt idx="155">
                  <c:v>1.6</c:v>
                </c:pt>
                <c:pt idx="156">
                  <c:v>1.9</c:v>
                </c:pt>
                <c:pt idx="157">
                  <c:v>2.2000000000000002</c:v>
                </c:pt>
                <c:pt idx="15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EE-48F7-A0CF-B1624207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502506"/>
        <c:axId val="906070303"/>
      </c:lineChart>
      <c:dateAx>
        <c:axId val="80650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906070303"/>
        <c:crosses val="autoZero"/>
        <c:auto val="1"/>
        <c:lblOffset val="100"/>
        <c:baseTimeUnit val="months"/>
      </c:dateAx>
      <c:valAx>
        <c:axId val="906070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80650250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5023951481373452E-2"/>
          <c:y val="2.0080321285140562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inflacija!$F$2</c:f>
              <c:strCache>
                <c:ptCount val="1"/>
                <c:pt idx="0">
                  <c:v>unemp_s1_gap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inflacija!$F$3:$F$82</c:f>
              <c:numCache>
                <c:formatCode>_-* #,##0.0\ _k_n_-;\-* #,##0.0\ _k_n_-;_-* "-"??\ _k_n_-;_-@</c:formatCode>
                <c:ptCount val="80"/>
                <c:pt idx="0">
                  <c:v>0.88571488722695202</c:v>
                </c:pt>
                <c:pt idx="1">
                  <c:v>0.99951859965371004</c:v>
                </c:pt>
                <c:pt idx="2">
                  <c:v>1.4542121268058401</c:v>
                </c:pt>
                <c:pt idx="3">
                  <c:v>1.9284674439827201</c:v>
                </c:pt>
                <c:pt idx="4">
                  <c:v>2.55823368152936</c:v>
                </c:pt>
                <c:pt idx="5">
                  <c:v>2.4964975466587802</c:v>
                </c:pt>
                <c:pt idx="6">
                  <c:v>2.0391786412810902</c:v>
                </c:pt>
                <c:pt idx="7">
                  <c:v>1.1636790873073399</c:v>
                </c:pt>
                <c:pt idx="8">
                  <c:v>0.197972373646425</c:v>
                </c:pt>
                <c:pt idx="9">
                  <c:v>-0.228106969522098</c:v>
                </c:pt>
                <c:pt idx="10">
                  <c:v>-0.77812260598203797</c:v>
                </c:pt>
                <c:pt idx="11">
                  <c:v>-0.84486904598072599</c:v>
                </c:pt>
                <c:pt idx="12">
                  <c:v>-0.87911209039738603</c:v>
                </c:pt>
                <c:pt idx="13">
                  <c:v>-0.82930288717627698</c:v>
                </c:pt>
                <c:pt idx="14">
                  <c:v>-0.60720808090994105</c:v>
                </c:pt>
                <c:pt idx="15">
                  <c:v>-0.42080919310221598</c:v>
                </c:pt>
                <c:pt idx="16">
                  <c:v>-0.158888996306251</c:v>
                </c:pt>
                <c:pt idx="17">
                  <c:v>-0.19791934497426</c:v>
                </c:pt>
                <c:pt idx="18">
                  <c:v>-0.42305912228714698</c:v>
                </c:pt>
                <c:pt idx="19">
                  <c:v>-0.58781104123641104</c:v>
                </c:pt>
                <c:pt idx="20">
                  <c:v>-0.96441390591542198</c:v>
                </c:pt>
                <c:pt idx="21">
                  <c:v>-1.26392680235288</c:v>
                </c:pt>
                <c:pt idx="22">
                  <c:v>-1.19389915514078</c:v>
                </c:pt>
                <c:pt idx="23">
                  <c:v>-1.3507943188358</c:v>
                </c:pt>
                <c:pt idx="24">
                  <c:v>-1.9866257803387</c:v>
                </c:pt>
                <c:pt idx="25">
                  <c:v>-2.4947660084610201</c:v>
                </c:pt>
                <c:pt idx="26">
                  <c:v>-2.8120545478340899</c:v>
                </c:pt>
                <c:pt idx="27">
                  <c:v>-3.2887756136833199</c:v>
                </c:pt>
                <c:pt idx="28">
                  <c:v>-3.8568439568069999</c:v>
                </c:pt>
                <c:pt idx="29">
                  <c:v>-3.8803790126191702</c:v>
                </c:pt>
                <c:pt idx="30">
                  <c:v>-3.93360492860235</c:v>
                </c:pt>
                <c:pt idx="31">
                  <c:v>-3.9920085835817098</c:v>
                </c:pt>
                <c:pt idx="32">
                  <c:v>-3.0092986537059101</c:v>
                </c:pt>
                <c:pt idx="33">
                  <c:v>-2.0709503294624101</c:v>
                </c:pt>
                <c:pt idx="34">
                  <c:v>-1.2627007338638101</c:v>
                </c:pt>
                <c:pt idx="35">
                  <c:v>-0.69767034249272597</c:v>
                </c:pt>
                <c:pt idx="36">
                  <c:v>8.8295169154431905E-2</c:v>
                </c:pt>
                <c:pt idx="37">
                  <c:v>0.55776214348708897</c:v>
                </c:pt>
                <c:pt idx="38">
                  <c:v>0.92596664290096997</c:v>
                </c:pt>
                <c:pt idx="39">
                  <c:v>1.15633242387073</c:v>
                </c:pt>
                <c:pt idx="40">
                  <c:v>0.91396571944666205</c:v>
                </c:pt>
                <c:pt idx="41">
                  <c:v>1.0421656241741499</c:v>
                </c:pt>
                <c:pt idx="42">
                  <c:v>1.0010708839029301</c:v>
                </c:pt>
                <c:pt idx="43">
                  <c:v>1.05763167810818</c:v>
                </c:pt>
                <c:pt idx="44">
                  <c:v>1.5290072061034501</c:v>
                </c:pt>
                <c:pt idx="45">
                  <c:v>1.80234070472</c:v>
                </c:pt>
                <c:pt idx="46">
                  <c:v>2.8061316720477301</c:v>
                </c:pt>
                <c:pt idx="47">
                  <c:v>3.5293614309867798</c:v>
                </c:pt>
                <c:pt idx="48">
                  <c:v>3.5764667724815302</c:v>
                </c:pt>
                <c:pt idx="49">
                  <c:v>3.7581506432262501</c:v>
                </c:pt>
                <c:pt idx="50">
                  <c:v>4.1185832354644001</c:v>
                </c:pt>
                <c:pt idx="51">
                  <c:v>4.4713031781670702</c:v>
                </c:pt>
                <c:pt idx="52">
                  <c:v>4.7490094834812604</c:v>
                </c:pt>
                <c:pt idx="53">
                  <c:v>3.9326786941559302</c:v>
                </c:pt>
                <c:pt idx="54">
                  <c:v>3.2598178937229201</c:v>
                </c:pt>
                <c:pt idx="55">
                  <c:v>2.9305365612408298</c:v>
                </c:pt>
                <c:pt idx="56">
                  <c:v>2.3539206494237899</c:v>
                </c:pt>
                <c:pt idx="57">
                  <c:v>1.98291268812146</c:v>
                </c:pt>
                <c:pt idx="58">
                  <c:v>1.7780585622610701</c:v>
                </c:pt>
                <c:pt idx="59">
                  <c:v>1.5206834000861</c:v>
                </c:pt>
                <c:pt idx="60">
                  <c:v>0.67756886737604805</c:v>
                </c:pt>
                <c:pt idx="61">
                  <c:v>0.23088177814524899</c:v>
                </c:pt>
                <c:pt idx="62">
                  <c:v>-0.33811582911239202</c:v>
                </c:pt>
                <c:pt idx="63">
                  <c:v>-0.678939983785672</c:v>
                </c:pt>
                <c:pt idx="64">
                  <c:v>-1.1869515852733701</c:v>
                </c:pt>
                <c:pt idx="65">
                  <c:v>-1.81538062083096</c:v>
                </c:pt>
                <c:pt idx="66">
                  <c:v>-2.0091566401390701</c:v>
                </c:pt>
                <c:pt idx="67">
                  <c:v>-2.5427254590823201</c:v>
                </c:pt>
                <c:pt idx="68">
                  <c:v>-2.9201148046569498</c:v>
                </c:pt>
                <c:pt idx="69">
                  <c:v>-2.8585456973767598</c:v>
                </c:pt>
                <c:pt idx="70">
                  <c:v>-3.4152319024244702</c:v>
                </c:pt>
                <c:pt idx="71">
                  <c:v>-3.7966706331076701</c:v>
                </c:pt>
                <c:pt idx="72">
                  <c:v>-3.8057337113737102</c:v>
                </c:pt>
                <c:pt idx="73">
                  <c:v>-3.50099503689755</c:v>
                </c:pt>
                <c:pt idx="74">
                  <c:v>-3.61194035408657</c:v>
                </c:pt>
                <c:pt idx="75">
                  <c:v>-3.8232365006773898</c:v>
                </c:pt>
                <c:pt idx="76">
                  <c:v>-2.4478506602775001</c:v>
                </c:pt>
                <c:pt idx="77">
                  <c:v>2.0779321032673201</c:v>
                </c:pt>
                <c:pt idx="78">
                  <c:v>5.1905843763379904</c:v>
                </c:pt>
                <c:pt idx="79">
                  <c:v>6.0229168967197202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378-4036-9466-8BCB871E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263620"/>
        <c:axId val="1842830227"/>
      </c:barChart>
      <c:lineChart>
        <c:grouping val="standard"/>
        <c:varyColors val="1"/>
        <c:ser>
          <c:idx val="1"/>
          <c:order val="1"/>
          <c:tx>
            <c:strRef>
              <c:f>inflacija!$E$2</c:f>
              <c:strCache>
                <c:ptCount val="1"/>
                <c:pt idx="0">
                  <c:v>unemp_s1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inflacija!$E$3:$E$82</c:f>
              <c:numCache>
                <c:formatCode>0.0</c:formatCode>
                <c:ptCount val="80"/>
                <c:pt idx="0">
                  <c:v>21.9192374908319</c:v>
                </c:pt>
                <c:pt idx="1">
                  <c:v>21.853602628401099</c:v>
                </c:pt>
                <c:pt idx="2">
                  <c:v>22.1288930092913</c:v>
                </c:pt>
                <c:pt idx="3">
                  <c:v>22.423856018141102</c:v>
                </c:pt>
                <c:pt idx="4">
                  <c:v>22.8745743631201</c:v>
                </c:pt>
                <c:pt idx="5">
                  <c:v>22.634245467963801</c:v>
                </c:pt>
                <c:pt idx="6">
                  <c:v>21.999101980451801</c:v>
                </c:pt>
                <c:pt idx="7">
                  <c:v>20.946958928266501</c:v>
                </c:pt>
                <c:pt idx="8">
                  <c:v>19.806284273233899</c:v>
                </c:pt>
                <c:pt idx="9">
                  <c:v>19.207453565613999</c:v>
                </c:pt>
                <c:pt idx="10">
                  <c:v>18.487452080598601</c:v>
                </c:pt>
                <c:pt idx="11">
                  <c:v>18.254025122637099</c:v>
                </c:pt>
                <c:pt idx="12">
                  <c:v>18.056915580643</c:v>
                </c:pt>
                <c:pt idx="13">
                  <c:v>17.948147201702501</c:v>
                </c:pt>
                <c:pt idx="14">
                  <c:v>18.016393071770199</c:v>
                </c:pt>
                <c:pt idx="15">
                  <c:v>18.0540782277738</c:v>
                </c:pt>
                <c:pt idx="16">
                  <c:v>18.172802167268401</c:v>
                </c:pt>
                <c:pt idx="17">
                  <c:v>17.9964584735425</c:v>
                </c:pt>
                <c:pt idx="18">
                  <c:v>17.640247345595998</c:v>
                </c:pt>
                <c:pt idx="19">
                  <c:v>17.351017235844001</c:v>
                </c:pt>
                <c:pt idx="20">
                  <c:v>16.8568635832358</c:v>
                </c:pt>
                <c:pt idx="21">
                  <c:v>16.4470380323427</c:v>
                </c:pt>
                <c:pt idx="22">
                  <c:v>16.4142633126169</c:v>
                </c:pt>
                <c:pt idx="23">
                  <c:v>16.1622976664741</c:v>
                </c:pt>
                <c:pt idx="24">
                  <c:v>15.4393014480191</c:v>
                </c:pt>
                <c:pt idx="25">
                  <c:v>14.852021997673701</c:v>
                </c:pt>
                <c:pt idx="26">
                  <c:v>14.463660115008</c:v>
                </c:pt>
                <c:pt idx="27">
                  <c:v>13.9238721383584</c:v>
                </c:pt>
                <c:pt idx="28">
                  <c:v>13.300571388306601</c:v>
                </c:pt>
                <c:pt idx="29">
                  <c:v>13.2293349497932</c:v>
                </c:pt>
                <c:pt idx="30">
                  <c:v>13.1354809219327</c:v>
                </c:pt>
                <c:pt idx="31">
                  <c:v>13.0429094573364</c:v>
                </c:pt>
                <c:pt idx="32">
                  <c:v>13.997141567094801</c:v>
                </c:pt>
                <c:pt idx="33">
                  <c:v>14.9117720676161</c:v>
                </c:pt>
                <c:pt idx="34">
                  <c:v>15.7000134708374</c:v>
                </c:pt>
                <c:pt idx="35">
                  <c:v>16.2476120981128</c:v>
                </c:pt>
                <c:pt idx="36">
                  <c:v>17.017538562852799</c:v>
                </c:pt>
                <c:pt idx="37">
                  <c:v>17.471147589560498</c:v>
                </c:pt>
                <c:pt idx="38">
                  <c:v>17.822467154531701</c:v>
                </c:pt>
                <c:pt idx="39">
                  <c:v>18.033735238627202</c:v>
                </c:pt>
                <c:pt idx="40">
                  <c:v>17.768909337948799</c:v>
                </c:pt>
                <c:pt idx="41">
                  <c:v>17.870186063390602</c:v>
                </c:pt>
                <c:pt idx="42">
                  <c:v>17.796638235779799</c:v>
                </c:pt>
                <c:pt idx="43">
                  <c:v>17.814191796193999</c:v>
                </c:pt>
                <c:pt idx="44">
                  <c:v>18.2390217483842</c:v>
                </c:pt>
                <c:pt idx="45">
                  <c:v>18.457329438886799</c:v>
                </c:pt>
                <c:pt idx="46">
                  <c:v>19.396733635784798</c:v>
                </c:pt>
                <c:pt idx="47">
                  <c:v>20.0454070255993</c:v>
                </c:pt>
                <c:pt idx="48">
                  <c:v>20.0070900081632</c:v>
                </c:pt>
                <c:pt idx="49">
                  <c:v>20.091930313516102</c:v>
                </c:pt>
                <c:pt idx="50">
                  <c:v>20.343685975917701</c:v>
                </c:pt>
                <c:pt idx="51">
                  <c:v>20.5756337923813</c:v>
                </c:pt>
                <c:pt idx="52">
                  <c:v>20.7203756864252</c:v>
                </c:pt>
                <c:pt idx="53">
                  <c:v>19.758969964296899</c:v>
                </c:pt>
                <c:pt idx="54">
                  <c:v>18.929195433406399</c:v>
                </c:pt>
                <c:pt idx="55">
                  <c:v>18.431590603838</c:v>
                </c:pt>
                <c:pt idx="56">
                  <c:v>17.6758008520471</c:v>
                </c:pt>
                <c:pt idx="57">
                  <c:v>17.115445353087399</c:v>
                </c:pt>
                <c:pt idx="58">
                  <c:v>16.711840793915901</c:v>
                </c:pt>
                <c:pt idx="59">
                  <c:v>16.247162421313501</c:v>
                </c:pt>
                <c:pt idx="60">
                  <c:v>15.1891131419394</c:v>
                </c:pt>
                <c:pt idx="61">
                  <c:v>14.520841838024101</c:v>
                </c:pt>
                <c:pt idx="62">
                  <c:v>13.724619719032001</c:v>
                </c:pt>
                <c:pt idx="63">
                  <c:v>13.151949161815899</c:v>
                </c:pt>
                <c:pt idx="64">
                  <c:v>12.4084741485858</c:v>
                </c:pt>
                <c:pt idx="65">
                  <c:v>11.541942416095299</c:v>
                </c:pt>
                <c:pt idx="66">
                  <c:v>11.108354660609599</c:v>
                </c:pt>
                <c:pt idx="67">
                  <c:v>10.334122696964799</c:v>
                </c:pt>
                <c:pt idx="68">
                  <c:v>9.7159960626203006</c:v>
                </c:pt>
                <c:pt idx="69">
                  <c:v>9.5374292924991302</c:v>
                </c:pt>
                <c:pt idx="70">
                  <c:v>8.7417673722633804</c:v>
                </c:pt>
                <c:pt idx="71">
                  <c:v>8.1229574976223802</c:v>
                </c:pt>
                <c:pt idx="72">
                  <c:v>7.8784356463696303</c:v>
                </c:pt>
                <c:pt idx="73">
                  <c:v>7.9497838517455701</c:v>
                </c:pt>
                <c:pt idx="74">
                  <c:v>7.6075200729098897</c:v>
                </c:pt>
                <c:pt idx="75">
                  <c:v>7.16684113589156</c:v>
                </c:pt>
                <c:pt idx="76" formatCode="_-* #,##0.0\ _k_n_-;\-* #,##0.0\ _k_n_-;_-* &quot;-&quot;??\ _k_n_-;_-@">
                  <c:v>8.3144990432344343</c:v>
                </c:pt>
                <c:pt idx="77" formatCode="_-* #,##0.0\ _k_n_-;\-* #,##0.0\ _k_n_-;_-* &quot;-&quot;??\ _k_n_-;_-@">
                  <c:v>12.613774987784069</c:v>
                </c:pt>
                <c:pt idx="78" formatCode="_-* #,##0.0\ _k_n_-;\-* #,##0.0\ _k_n_-;_-* &quot;-&quot;??\ _k_n_-;_-@">
                  <c:v>15.500609898586351</c:v>
                </c:pt>
                <c:pt idx="79" formatCode="_-* #,##0.0\ _k_n_-;\-* #,##0.0\ _k_n_-;_-* &quot;-&quot;??\ _k_n_-;_-@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8-4036-9466-8BCB871E768A}"/>
            </c:ext>
          </c:extLst>
        </c:ser>
        <c:ser>
          <c:idx val="2"/>
          <c:order val="2"/>
          <c:tx>
            <c:strRef>
              <c:f>inflacija!$M$2</c:f>
              <c:strCache>
                <c:ptCount val="1"/>
                <c:pt idx="0">
                  <c:v>unemp_trend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inflacija!$M$3:$M$82</c:f>
              <c:numCache>
                <c:formatCode>_-* #,##0.00\ _k_n_-;\-* #,##0.00\ _k_n_-;_-* "-"??\ _k_n_-;_-@</c:formatCode>
                <c:ptCount val="80"/>
                <c:pt idx="0">
                  <c:v>21.033522603604947</c:v>
                </c:pt>
                <c:pt idx="1">
                  <c:v>20.854084028747387</c:v>
                </c:pt>
                <c:pt idx="2">
                  <c:v>20.674680882485461</c:v>
                </c:pt>
                <c:pt idx="3">
                  <c:v>20.495388574158383</c:v>
                </c:pt>
                <c:pt idx="4">
                  <c:v>20.316340681590741</c:v>
                </c:pt>
                <c:pt idx="5">
                  <c:v>20.137747921305021</c:v>
                </c:pt>
                <c:pt idx="6">
                  <c:v>19.959923339170711</c:v>
                </c:pt>
                <c:pt idx="7">
                  <c:v>19.78327984095916</c:v>
                </c:pt>
                <c:pt idx="8">
                  <c:v>19.608311899587473</c:v>
                </c:pt>
                <c:pt idx="9">
                  <c:v>19.435560535136098</c:v>
                </c:pt>
                <c:pt idx="10">
                  <c:v>19.265574686580639</c:v>
                </c:pt>
                <c:pt idx="11">
                  <c:v>19.098894168617825</c:v>
                </c:pt>
                <c:pt idx="12">
                  <c:v>18.936027671040385</c:v>
                </c:pt>
                <c:pt idx="13">
                  <c:v>18.777450088878776</c:v>
                </c:pt>
                <c:pt idx="14">
                  <c:v>18.623601152680141</c:v>
                </c:pt>
                <c:pt idx="15">
                  <c:v>18.474887420876016</c:v>
                </c:pt>
                <c:pt idx="16">
                  <c:v>18.331691163574654</c:v>
                </c:pt>
                <c:pt idx="17">
                  <c:v>18.19437781851676</c:v>
                </c:pt>
                <c:pt idx="18">
                  <c:v>18.063306467883145</c:v>
                </c:pt>
                <c:pt idx="19">
                  <c:v>17.938828277080411</c:v>
                </c:pt>
                <c:pt idx="20">
                  <c:v>17.821277489151221</c:v>
                </c:pt>
                <c:pt idx="21">
                  <c:v>17.710964834695581</c:v>
                </c:pt>
                <c:pt idx="22">
                  <c:v>17.60816246775768</c:v>
                </c:pt>
                <c:pt idx="23">
                  <c:v>17.513091985309899</c:v>
                </c:pt>
                <c:pt idx="24">
                  <c:v>17.4259272283578</c:v>
                </c:pt>
                <c:pt idx="25">
                  <c:v>17.346788006134719</c:v>
                </c:pt>
                <c:pt idx="26">
                  <c:v>17.275714662842091</c:v>
                </c:pt>
                <c:pt idx="27">
                  <c:v>17.212647752041718</c:v>
                </c:pt>
                <c:pt idx="28">
                  <c:v>17.157415345113602</c:v>
                </c:pt>
                <c:pt idx="29">
                  <c:v>17.109713962412371</c:v>
                </c:pt>
                <c:pt idx="30">
                  <c:v>17.06908585053505</c:v>
                </c:pt>
                <c:pt idx="31">
                  <c:v>17.034918040918111</c:v>
                </c:pt>
                <c:pt idx="32">
                  <c:v>17.006440220800712</c:v>
                </c:pt>
                <c:pt idx="33">
                  <c:v>16.982722397078511</c:v>
                </c:pt>
                <c:pt idx="34">
                  <c:v>16.962714204701211</c:v>
                </c:pt>
                <c:pt idx="35">
                  <c:v>16.945282440605524</c:v>
                </c:pt>
                <c:pt idx="36">
                  <c:v>16.929243393698368</c:v>
                </c:pt>
                <c:pt idx="37">
                  <c:v>16.913385446073409</c:v>
                </c:pt>
                <c:pt idx="38">
                  <c:v>16.89650051163073</c:v>
                </c:pt>
                <c:pt idx="39">
                  <c:v>16.877402814756472</c:v>
                </c:pt>
                <c:pt idx="40">
                  <c:v>16.854943618502137</c:v>
                </c:pt>
                <c:pt idx="41">
                  <c:v>16.828020439216452</c:v>
                </c:pt>
                <c:pt idx="42">
                  <c:v>16.795567351876869</c:v>
                </c:pt>
                <c:pt idx="43">
                  <c:v>16.756560118085819</c:v>
                </c:pt>
                <c:pt idx="44">
                  <c:v>16.710014542280749</c:v>
                </c:pt>
                <c:pt idx="45">
                  <c:v>16.6549887341668</c:v>
                </c:pt>
                <c:pt idx="46">
                  <c:v>16.590601963737068</c:v>
                </c:pt>
                <c:pt idx="47">
                  <c:v>16.516045594612521</c:v>
                </c:pt>
                <c:pt idx="48">
                  <c:v>16.430623235681669</c:v>
                </c:pt>
                <c:pt idx="49">
                  <c:v>16.33377967028985</c:v>
                </c:pt>
                <c:pt idx="50">
                  <c:v>16.225102740453302</c:v>
                </c:pt>
                <c:pt idx="51">
                  <c:v>16.104330614214231</c:v>
                </c:pt>
                <c:pt idx="52">
                  <c:v>15.97136620294394</c:v>
                </c:pt>
                <c:pt idx="53">
                  <c:v>15.826291270140969</c:v>
                </c:pt>
                <c:pt idx="54">
                  <c:v>15.669377539683479</c:v>
                </c:pt>
                <c:pt idx="55">
                  <c:v>15.50105404259717</c:v>
                </c:pt>
                <c:pt idx="56">
                  <c:v>15.32188020262331</c:v>
                </c:pt>
                <c:pt idx="57">
                  <c:v>15.13253266496594</c:v>
                </c:pt>
                <c:pt idx="58">
                  <c:v>14.933782231654831</c:v>
                </c:pt>
                <c:pt idx="59">
                  <c:v>14.726479021227401</c:v>
                </c:pt>
                <c:pt idx="60">
                  <c:v>14.511544274563352</c:v>
                </c:pt>
                <c:pt idx="61">
                  <c:v>14.289960059878851</c:v>
                </c:pt>
                <c:pt idx="62">
                  <c:v>14.062735548144392</c:v>
                </c:pt>
                <c:pt idx="63">
                  <c:v>13.830889145601571</c:v>
                </c:pt>
                <c:pt idx="64">
                  <c:v>13.59542573385917</c:v>
                </c:pt>
                <c:pt idx="65">
                  <c:v>13.357323036926259</c:v>
                </c:pt>
                <c:pt idx="66">
                  <c:v>13.117511300748669</c:v>
                </c:pt>
                <c:pt idx="67">
                  <c:v>12.876848156047119</c:v>
                </c:pt>
                <c:pt idx="68">
                  <c:v>12.63611086727725</c:v>
                </c:pt>
                <c:pt idx="69">
                  <c:v>12.39597498987589</c:v>
                </c:pt>
                <c:pt idx="70">
                  <c:v>12.15699927468785</c:v>
                </c:pt>
                <c:pt idx="71">
                  <c:v>11.91962813073005</c:v>
                </c:pt>
                <c:pt idx="72">
                  <c:v>11.68416935774334</c:v>
                </c:pt>
                <c:pt idx="73">
                  <c:v>11.45077888864312</c:v>
                </c:pt>
                <c:pt idx="74">
                  <c:v>11.219460426996459</c:v>
                </c:pt>
                <c:pt idx="75">
                  <c:v>10.99007763656895</c:v>
                </c:pt>
                <c:pt idx="76">
                  <c:v>10.762349703511934</c:v>
                </c:pt>
                <c:pt idx="77">
                  <c:v>10.535842884516748</c:v>
                </c:pt>
                <c:pt idx="78">
                  <c:v>10.31002552224836</c:v>
                </c:pt>
                <c:pt idx="79">
                  <c:v>10.084449076655851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8-4036-9466-8BCB871E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63620"/>
        <c:axId val="1842830227"/>
      </c:lineChart>
      <c:dateAx>
        <c:axId val="137426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842830227"/>
        <c:crosses val="autoZero"/>
        <c:auto val="1"/>
        <c:lblOffset val="100"/>
        <c:baseTimeUnit val="months"/>
      </c:dateAx>
      <c:valAx>
        <c:axId val="184283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_-* #,##0.0\ _k_n_-;\-* #,##0.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3742636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8.5582238582405309E-2"/>
          <c:y val="0.14904740259920232"/>
          <c:w val="0.85606459413370173"/>
          <c:h val="0.70167134142454468"/>
        </c:manualLayout>
      </c:layout>
      <c:lineChart>
        <c:grouping val="standard"/>
        <c:varyColors val="1"/>
        <c:ser>
          <c:idx val="0"/>
          <c:order val="0"/>
          <c:tx>
            <c:strRef>
              <c:f>inflacija!$C$2</c:f>
              <c:strCache>
                <c:ptCount val="1"/>
                <c:pt idx="0">
                  <c:v>infl_core_s1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inflacija!$C$3:$C$82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1.3433892836233385</c:v>
                </c:pt>
                <c:pt idx="77" formatCode="_-* #,##0.0\ _k_n_-;\-* #,##0.0\ _k_n_-;_-* &quot;-&quot;??\ _k_n_-;_-@">
                  <c:v>0.3966732244043929</c:v>
                </c:pt>
                <c:pt idx="78" formatCode="_-* #,##0.0\ _k_n_-;\-* #,##0.0\ _k_n_-;_-* &quot;-&quot;??\ _k_n_-;_-@">
                  <c:v>-0.26620144449791527</c:v>
                </c:pt>
                <c:pt idx="79" formatCode="_-* #,##0.0\ _k_n_-;\-* #,##0.0\ _k_n_-;_-* &quot;-&quot;??\ _k_n_-;_-@">
                  <c:v>-0.47105108787512306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D-4F77-8DBA-8ABB3483AF2E}"/>
            </c:ext>
          </c:extLst>
        </c:ser>
        <c:ser>
          <c:idx val="1"/>
          <c:order val="1"/>
          <c:tx>
            <c:strRef>
              <c:f>inflacija!$G$2</c:f>
              <c:strCache>
                <c:ptCount val="1"/>
                <c:pt idx="0">
                  <c:v>infl_core_s2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inflacija!$G$3:$G$82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1.303223085810701</c:v>
                </c:pt>
                <c:pt idx="77" formatCode="_-* #,##0.0\ _k_n_-;\-* #,##0.0\ _k_n_-;_-* &quot;-&quot;??\ _k_n_-;_-@">
                  <c:v>0.35390739570933216</c:v>
                </c:pt>
                <c:pt idx="78" formatCode="_-* #,##0.0\ _k_n_-;\-* #,##0.0\ _k_n_-;_-* &quot;-&quot;??\ _k_n_-;_-@">
                  <c:v>-0.10988959199354609</c:v>
                </c:pt>
                <c:pt idx="79" formatCode="_-* #,##0.0\ _k_n_-;\-* #,##0.0\ _k_n_-;_-* &quot;-&quot;??\ _k_n_-;_-@">
                  <c:v>-0.25839019616758008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D-4F77-8DBA-8ABB3483AF2E}"/>
            </c:ext>
          </c:extLst>
        </c:ser>
        <c:ser>
          <c:idx val="2"/>
          <c:order val="2"/>
          <c:tx>
            <c:strRef>
              <c:f>inflacija!$J$2</c:f>
              <c:strCache>
                <c:ptCount val="1"/>
                <c:pt idx="0">
                  <c:v>infl_core_s3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inflacija!$J$3:$J$82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1.2695557334722571</c:v>
                </c:pt>
                <c:pt idx="77" formatCode="_-* #,##0.0\ _k_n_-;\-* #,##0.0\ _k_n_-;_-* &quot;-&quot;??\ _k_n_-;_-@">
                  <c:v>0.31806044410314804</c:v>
                </c:pt>
                <c:pt idx="78" formatCode="_-* #,##0.0\ _k_n_-;\-* #,##0.0\ _k_n_-;_-* &quot;-&quot;??\ _k_n_-;_-@">
                  <c:v>1.9312823654155764E-2</c:v>
                </c:pt>
                <c:pt idx="79" formatCode="_-* #,##0.0\ _k_n_-;\-* #,##0.0\ _k_n_-;_-* &quot;-&quot;??\ _k_n_-;_-@">
                  <c:v>-7.8406184763628373E-2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D-4F77-8DBA-8ABB3483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3522"/>
        <c:axId val="1548036749"/>
      </c:lineChart>
      <c:dateAx>
        <c:axId val="102221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548036749"/>
        <c:crosses val="autoZero"/>
        <c:auto val="1"/>
        <c:lblOffset val="100"/>
        <c:baseTimeUnit val="months"/>
      </c:dateAx>
      <c:valAx>
        <c:axId val="1548036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2221352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5570948782535685"/>
          <c:w val="0.83457174103237097"/>
          <c:h val="0.60582121819155477"/>
        </c:manualLayout>
      </c:layout>
      <c:lineChart>
        <c:grouping val="standard"/>
        <c:varyColors val="0"/>
        <c:ser>
          <c:idx val="0"/>
          <c:order val="0"/>
          <c:tx>
            <c:strRef>
              <c:f>nekretnine!$D$1</c:f>
              <c:strCache>
                <c:ptCount val="1"/>
                <c:pt idx="0">
                  <c:v>Scenarij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nekretnine!$E$3:$E$74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-1.6879977315294048</c:v>
                </c:pt>
                <c:pt idx="69">
                  <c:v>-6.0437453095754643</c:v>
                </c:pt>
                <c:pt idx="70">
                  <c:v>-12.954897289258525</c:v>
                </c:pt>
                <c:pt idx="71">
                  <c:v>-16.726118670129559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7-4EF1-AD2C-6F2A34DEF045}"/>
            </c:ext>
          </c:extLst>
        </c:ser>
        <c:ser>
          <c:idx val="1"/>
          <c:order val="1"/>
          <c:tx>
            <c:strRef>
              <c:f>nekretnine!$K$1</c:f>
              <c:strCache>
                <c:ptCount val="1"/>
                <c:pt idx="0">
                  <c:v>Scenarij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nekretnine!$L$3:$L$74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0.67826618873987865</c:v>
                </c:pt>
                <c:pt idx="69">
                  <c:v>-4.5926518509530725</c:v>
                </c:pt>
                <c:pt idx="70">
                  <c:v>-10.555729805620279</c:v>
                </c:pt>
                <c:pt idx="71">
                  <c:v>-14.757627835862554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7-4EF1-AD2C-6F2A34DEF045}"/>
            </c:ext>
          </c:extLst>
        </c:ser>
        <c:ser>
          <c:idx val="2"/>
          <c:order val="2"/>
          <c:tx>
            <c:strRef>
              <c:f>nekretnine!$R$1</c:f>
              <c:strCache>
                <c:ptCount val="1"/>
                <c:pt idx="0">
                  <c:v>Scenarij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nekretnine!$S$3:$S$74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0.69941555030490177</c:v>
                </c:pt>
                <c:pt idx="69">
                  <c:v>-4.5685437346069175</c:v>
                </c:pt>
                <c:pt idx="70">
                  <c:v>-9.2174275547377018</c:v>
                </c:pt>
                <c:pt idx="71">
                  <c:v>-12.440413074504194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7-4EF1-AD2C-6F2A34DE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41759"/>
        <c:axId val="1373253823"/>
      </c:lineChart>
      <c:dateAx>
        <c:axId val="1373241759"/>
        <c:scaling>
          <c:orientation val="minMax"/>
        </c:scaling>
        <c:delete val="0"/>
        <c:axPos val="b"/>
        <c:numFmt formatCode="m\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3253823"/>
        <c:crosses val="autoZero"/>
        <c:auto val="1"/>
        <c:lblOffset val="100"/>
        <c:baseTimeUnit val="months"/>
      </c:dateAx>
      <c:valAx>
        <c:axId val="13732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32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780766846341099"/>
          <c:y val="0.11715257169030246"/>
          <c:w val="0.80374411922400957"/>
          <c:h val="0.76551104580456586"/>
        </c:manualLayout>
      </c:layout>
      <c:lineChart>
        <c:grouping val="standard"/>
        <c:varyColors val="1"/>
        <c:ser>
          <c:idx val="0"/>
          <c:order val="0"/>
          <c:tx>
            <c:strRef>
              <c:f>javne_financije!$AH$5</c:f>
              <c:strCache>
                <c:ptCount val="1"/>
                <c:pt idx="0">
                  <c:v>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javne_financije!$AH$6:$AH$24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-0.13243427154810675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1F6-9FF1-D33B316D6DAE}"/>
            </c:ext>
          </c:extLst>
        </c:ser>
        <c:ser>
          <c:idx val="1"/>
          <c:order val="1"/>
          <c:tx>
            <c:strRef>
              <c:f>javne_financije!$AI$5</c:f>
              <c:strCache>
                <c:ptCount val="1"/>
                <c:pt idx="0">
                  <c:v>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javne_financije!$AI$6:$AI$24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-0.12408471912401377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1F6-9FF1-D33B316D6DAE}"/>
            </c:ext>
          </c:extLst>
        </c:ser>
        <c:ser>
          <c:idx val="2"/>
          <c:order val="2"/>
          <c:tx>
            <c:strRef>
              <c:f>javne_financije!$AJ$5</c:f>
              <c:strCache>
                <c:ptCount val="1"/>
                <c:pt idx="0">
                  <c:v>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javne_financije!$AJ$6:$AJ$24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-0.11409904091054285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7-41F6-9FF1-D33B316D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72628"/>
        <c:axId val="228686511"/>
      </c:lineChart>
      <c:dateAx>
        <c:axId val="89387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228686511"/>
        <c:crosses val="autoZero"/>
        <c:auto val="1"/>
        <c:lblOffset val="100"/>
        <c:baseTimeUnit val="years"/>
      </c:dateAx>
      <c:valAx>
        <c:axId val="228686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r-HR"/>
                  <a:t>u % BDP-a</a:t>
                </a:r>
              </a:p>
            </c:rich>
          </c:tx>
          <c:layout/>
          <c:overlay val="0"/>
        </c:title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8938726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javne_financije!$AY$4</c:f>
          <c:strCache>
            <c:ptCount val="1"/>
            <c:pt idx="0">
              <c:v>Dug opće države (u % BDP-a)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9089989827917257E-2"/>
          <c:y val="0.20715086199861818"/>
          <c:w val="0.85230517050778154"/>
          <c:h val="0.67980600270921621"/>
        </c:manualLayout>
      </c:layout>
      <c:lineChart>
        <c:grouping val="standard"/>
        <c:varyColors val="0"/>
        <c:ser>
          <c:idx val="0"/>
          <c:order val="0"/>
          <c:tx>
            <c:strRef>
              <c:f>javne_financije!$AY$5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javne_financije!$AY$6:$AY$31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 formatCode="0.0%">
                  <c:v>0.73236187936383745</c:v>
                </c:pt>
                <c:pt idx="25">
                  <c:v>1.0854650153966672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9-4707-9D9B-6EB7C8588389}"/>
            </c:ext>
          </c:extLst>
        </c:ser>
        <c:ser>
          <c:idx val="1"/>
          <c:order val="1"/>
          <c:tx>
            <c:strRef>
              <c:f>javne_financije!$AZ$5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"/>
                  <c:y val="6.8542962810045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javne_financije!$AZ$6:$AZ$31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>
                  <c:v>0.73236187936383745</c:v>
                </c:pt>
                <c:pt idx="25">
                  <c:v>1.0426800683475306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9-4707-9D9B-6EB7C8588389}"/>
            </c:ext>
          </c:extLst>
        </c:ser>
        <c:ser>
          <c:idx val="2"/>
          <c:order val="2"/>
          <c:tx>
            <c:strRef>
              <c:f>javne_financije!$BA$5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39-4707-9D9B-6EB7C8588389}"/>
                </c:ext>
              </c:extLst>
            </c:dLbl>
            <c:dLbl>
              <c:idx val="25"/>
              <c:layout>
                <c:manualLayout>
                  <c:x val="0"/>
                  <c:y val="6.85429628100455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javne_financije!$BA$6:$BA$31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>
                  <c:v>0.73236187936383745</c:v>
                </c:pt>
                <c:pt idx="25">
                  <c:v>0.99367301107560757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9-4707-9D9B-6EB7C858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70960"/>
        <c:axId val="1761671792"/>
      </c:lineChart>
      <c:dateAx>
        <c:axId val="1761670960"/>
        <c:scaling>
          <c:orientation val="minMax"/>
        </c:scaling>
        <c:delete val="0"/>
        <c:axPos val="b"/>
        <c:numFmt formatCode="yyyy/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1671792"/>
        <c:crosses val="autoZero"/>
        <c:auto val="1"/>
        <c:lblOffset val="100"/>
        <c:baseTimeUnit val="years"/>
      </c:dateAx>
      <c:valAx>
        <c:axId val="1761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16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javne_financije!$AT$36</c:f>
              <c:strCache>
                <c:ptCount val="1"/>
                <c:pt idx="0">
                  <c:v>ddug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javne_financije!$AS$37:$AS$54</c:f>
              <c:numCache>
                <c:formatCode>m/d/yyyy</c:formatCode>
                <c:ptCount val="18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</c:numCache>
            </c:numRef>
          </c:cat>
          <c:val>
            <c:numRef>
              <c:f>javne_financije!$AT$37:$AT$54</c:f>
              <c:numCache>
                <c:formatCode>_-* #,##0\ _k_n_-;\-* #,##0\ _k_n_-;_-* "-"??\ _k_n_-;_-@_-</c:formatCode>
                <c:ptCount val="18"/>
                <c:pt idx="0">
                  <c:v>6691.5592977695342</c:v>
                </c:pt>
                <c:pt idx="1">
                  <c:v>11119.142676079136</c:v>
                </c:pt>
                <c:pt idx="2">
                  <c:v>12379.404531050503</c:v>
                </c:pt>
                <c:pt idx="3">
                  <c:v>10232.286965108826</c:v>
                </c:pt>
                <c:pt idx="4">
                  <c:v>2682.9048806465144</c:v>
                </c:pt>
                <c:pt idx="5">
                  <c:v>6484.4089126058971</c:v>
                </c:pt>
                <c:pt idx="6">
                  <c:v>15627.346650719599</c:v>
                </c:pt>
                <c:pt idx="7">
                  <c:v>24772.83297960044</c:v>
                </c:pt>
                <c:pt idx="8">
                  <c:v>29058.104883675289</c:v>
                </c:pt>
                <c:pt idx="9">
                  <c:v>24456.139782561426</c:v>
                </c:pt>
                <c:pt idx="10">
                  <c:v>17272.568529483222</c:v>
                </c:pt>
                <c:pt idx="11">
                  <c:v>37146.800375040213</c:v>
                </c:pt>
                <c:pt idx="12">
                  <c:v>11700.569470188522</c:v>
                </c:pt>
                <c:pt idx="13">
                  <c:v>5802.4702626041835</c:v>
                </c:pt>
                <c:pt idx="14">
                  <c:v>-2657.4266513478942</c:v>
                </c:pt>
                <c:pt idx="15">
                  <c:v>1166.8953191431356</c:v>
                </c:pt>
                <c:pt idx="16">
                  <c:v>1218.107869726955</c:v>
                </c:pt>
                <c:pt idx="17">
                  <c:v>6881.9216579805361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3-4DA6-BCB5-FFD6615F60BF}"/>
            </c:ext>
          </c:extLst>
        </c:ser>
        <c:ser>
          <c:idx val="1"/>
          <c:order val="1"/>
          <c:tx>
            <c:strRef>
              <c:f>javne_financije!$AU$36</c:f>
              <c:strCache>
                <c:ptCount val="1"/>
                <c:pt idx="0">
                  <c:v>deficit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javne_financije!$AS$37:$AS$54</c:f>
              <c:numCache>
                <c:formatCode>m/d/yyyy</c:formatCode>
                <c:ptCount val="18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</c:numCache>
            </c:numRef>
          </c:cat>
          <c:val>
            <c:numRef>
              <c:f>javne_financije!$AU$37:$AU$54</c:f>
              <c:numCache>
                <c:formatCode>_-* #,##0\ _k_n_-;\-* #,##0\ _k_n_-;_-* "-"??\ _k_n_-;_-@</c:formatCode>
                <c:ptCount val="18"/>
                <c:pt idx="0">
                  <c:v>6944.1000000000058</c:v>
                </c:pt>
                <c:pt idx="1">
                  <c:v>10513.999999999985</c:v>
                </c:pt>
                <c:pt idx="2">
                  <c:v>12465.600000000006</c:v>
                </c:pt>
                <c:pt idx="3">
                  <c:v>9897.3000000000029</c:v>
                </c:pt>
                <c:pt idx="4">
                  <c:v>9223.0000000000146</c:v>
                </c:pt>
                <c:pt idx="5">
                  <c:v>7196.5</c:v>
                </c:pt>
                <c:pt idx="6">
                  <c:v>9791</c:v>
                </c:pt>
                <c:pt idx="7">
                  <c:v>20005.600000000035</c:v>
                </c:pt>
                <c:pt idx="8">
                  <c:v>21260</c:v>
                </c:pt>
                <c:pt idx="9">
                  <c:v>26368.899999999994</c:v>
                </c:pt>
                <c:pt idx="10">
                  <c:v>17693.900000000023</c:v>
                </c:pt>
                <c:pt idx="11">
                  <c:v>17677.299999999988</c:v>
                </c:pt>
                <c:pt idx="12">
                  <c:v>17724.999999999971</c:v>
                </c:pt>
                <c:pt idx="13">
                  <c:v>11260.900000000052</c:v>
                </c:pt>
                <c:pt idx="14">
                  <c:v>3884.3000000000175</c:v>
                </c:pt>
                <c:pt idx="15">
                  <c:v>-2913.8000000000466</c:v>
                </c:pt>
                <c:pt idx="16">
                  <c:v>-991.80000000007567</c:v>
                </c:pt>
                <c:pt idx="17">
                  <c:v>-1362.6000000000058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3-4DA6-BCB5-FFD6615F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996096"/>
        <c:axId val="1766002336"/>
      </c:lineChart>
      <c:dateAx>
        <c:axId val="176599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6002336"/>
        <c:crosses val="autoZero"/>
        <c:auto val="1"/>
        <c:lblOffset val="100"/>
        <c:baseTimeUnit val="years"/>
      </c:dateAx>
      <c:valAx>
        <c:axId val="17660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k_n_-;\-* #,##0\ _k_n_-;_-* &quot;-&quot;??\ _k_n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59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prinos!$B$2</c:f>
              <c:strCache>
                <c:ptCount val="1"/>
                <c:pt idx="0">
                  <c:v>yld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prinos!$A$3:$A$78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prinos!$B$3:$B$78</c:f>
              <c:numCache>
                <c:formatCode>General</c:formatCode>
                <c:ptCount val="76"/>
                <c:pt idx="0">
                  <c:v>6.86</c:v>
                </c:pt>
                <c:pt idx="1">
                  <c:v>7.03</c:v>
                </c:pt>
                <c:pt idx="2">
                  <c:v>7.22</c:v>
                </c:pt>
                <c:pt idx="3">
                  <c:v>6.81</c:v>
                </c:pt>
                <c:pt idx="4">
                  <c:v>6.18</c:v>
                </c:pt>
                <c:pt idx="5">
                  <c:v>5.89</c:v>
                </c:pt>
                <c:pt idx="6">
                  <c:v>5.7</c:v>
                </c:pt>
                <c:pt idx="7">
                  <c:v>5.48</c:v>
                </c:pt>
                <c:pt idx="8">
                  <c:v>5.57</c:v>
                </c:pt>
                <c:pt idx="9">
                  <c:v>5.54</c:v>
                </c:pt>
                <c:pt idx="10">
                  <c:v>5.68</c:v>
                </c:pt>
                <c:pt idx="11">
                  <c:v>5.27</c:v>
                </c:pt>
                <c:pt idx="12">
                  <c:v>4.75</c:v>
                </c:pt>
                <c:pt idx="13">
                  <c:v>4.37</c:v>
                </c:pt>
                <c:pt idx="14">
                  <c:v>4.28</c:v>
                </c:pt>
                <c:pt idx="15">
                  <c:v>3.97</c:v>
                </c:pt>
                <c:pt idx="16">
                  <c:v>4.04</c:v>
                </c:pt>
                <c:pt idx="17">
                  <c:v>4.2</c:v>
                </c:pt>
                <c:pt idx="18">
                  <c:v>4.6399999999999997</c:v>
                </c:pt>
                <c:pt idx="19">
                  <c:v>4.75</c:v>
                </c:pt>
                <c:pt idx="20">
                  <c:v>4.75</c:v>
                </c:pt>
                <c:pt idx="21">
                  <c:v>4.47</c:v>
                </c:pt>
                <c:pt idx="22">
                  <c:v>5.04</c:v>
                </c:pt>
                <c:pt idx="23">
                  <c:v>5.22</c:v>
                </c:pt>
                <c:pt idx="24">
                  <c:v>5.55</c:v>
                </c:pt>
                <c:pt idx="25">
                  <c:v>5.79</c:v>
                </c:pt>
                <c:pt idx="26">
                  <c:v>5.81</c:v>
                </c:pt>
                <c:pt idx="27">
                  <c:v>6.26</c:v>
                </c:pt>
                <c:pt idx="28">
                  <c:v>6.83</c:v>
                </c:pt>
                <c:pt idx="29">
                  <c:v>8.4</c:v>
                </c:pt>
                <c:pt idx="30">
                  <c:v>8.5299999999999994</c:v>
                </c:pt>
                <c:pt idx="31">
                  <c:v>8.64</c:v>
                </c:pt>
                <c:pt idx="32">
                  <c:v>5.95</c:v>
                </c:pt>
                <c:pt idx="33">
                  <c:v>6.22</c:v>
                </c:pt>
                <c:pt idx="34">
                  <c:v>6.56</c:v>
                </c:pt>
                <c:pt idx="35">
                  <c:v>6.41</c:v>
                </c:pt>
                <c:pt idx="36">
                  <c:v>6.55</c:v>
                </c:pt>
                <c:pt idx="37">
                  <c:v>6.1</c:v>
                </c:pt>
                <c:pt idx="38">
                  <c:v>6.24</c:v>
                </c:pt>
                <c:pt idx="39">
                  <c:v>6.81</c:v>
                </c:pt>
                <c:pt idx="40">
                  <c:v>7.54</c:v>
                </c:pt>
                <c:pt idx="41">
                  <c:v>6.59</c:v>
                </c:pt>
                <c:pt idx="42">
                  <c:v>6.43</c:v>
                </c:pt>
                <c:pt idx="43">
                  <c:v>4.78</c:v>
                </c:pt>
                <c:pt idx="44">
                  <c:v>4.29</c:v>
                </c:pt>
                <c:pt idx="45">
                  <c:v>4.34</c:v>
                </c:pt>
                <c:pt idx="46">
                  <c:v>4.91</c:v>
                </c:pt>
                <c:pt idx="47">
                  <c:v>4.99</c:v>
                </c:pt>
                <c:pt idx="48">
                  <c:v>5.1100000000000003</c:v>
                </c:pt>
                <c:pt idx="49">
                  <c:v>4.41</c:v>
                </c:pt>
                <c:pt idx="50">
                  <c:v>3.72</c:v>
                </c:pt>
                <c:pt idx="51">
                  <c:v>3.54</c:v>
                </c:pt>
                <c:pt idx="52">
                  <c:v>3.32</c:v>
                </c:pt>
                <c:pt idx="53">
                  <c:v>3.17</c:v>
                </c:pt>
                <c:pt idx="54">
                  <c:v>4.2300000000000004</c:v>
                </c:pt>
                <c:pt idx="55">
                  <c:v>3.93</c:v>
                </c:pt>
                <c:pt idx="56">
                  <c:v>3.84</c:v>
                </c:pt>
                <c:pt idx="57">
                  <c:v>3.62</c:v>
                </c:pt>
                <c:pt idx="58">
                  <c:v>3.75</c:v>
                </c:pt>
                <c:pt idx="59">
                  <c:v>3.07</c:v>
                </c:pt>
                <c:pt idx="60">
                  <c:v>2.8</c:v>
                </c:pt>
                <c:pt idx="61">
                  <c:v>2.98</c:v>
                </c:pt>
                <c:pt idx="62">
                  <c:v>2.78</c:v>
                </c:pt>
                <c:pt idx="63">
                  <c:v>2.66</c:v>
                </c:pt>
                <c:pt idx="64">
                  <c:v>2.35</c:v>
                </c:pt>
                <c:pt idx="65">
                  <c:v>2.12</c:v>
                </c:pt>
                <c:pt idx="66">
                  <c:v>2.2599999999999998</c:v>
                </c:pt>
                <c:pt idx="67">
                  <c:v>2.09</c:v>
                </c:pt>
                <c:pt idx="68">
                  <c:v>2.23</c:v>
                </c:pt>
                <c:pt idx="69">
                  <c:v>1.82</c:v>
                </c:pt>
                <c:pt idx="70">
                  <c:v>1.06</c:v>
                </c:pt>
                <c:pt idx="71">
                  <c:v>0.47</c:v>
                </c:pt>
                <c:pt idx="72" formatCode="0.00">
                  <c:v>0.83474351605515917</c:v>
                </c:pt>
                <c:pt idx="73" formatCode="0.00">
                  <c:v>1.4315903403263193</c:v>
                </c:pt>
                <c:pt idx="74" formatCode="0.00">
                  <c:v>1.6501196784227776</c:v>
                </c:pt>
                <c:pt idx="75" formatCode="0.00">
                  <c:v>1.6557179383096645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8-4AF7-8888-071A79EF7303}"/>
            </c:ext>
          </c:extLst>
        </c:ser>
        <c:ser>
          <c:idx val="1"/>
          <c:order val="1"/>
          <c:tx>
            <c:strRef>
              <c:f>prinos!$N$2</c:f>
              <c:strCache>
                <c:ptCount val="1"/>
                <c:pt idx="0">
                  <c:v>yld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prinos!$A$3:$A$78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prinos!$N$3:$N$78</c:f>
              <c:numCache>
                <c:formatCode>General</c:formatCode>
                <c:ptCount val="76"/>
                <c:pt idx="0">
                  <c:v>6.86</c:v>
                </c:pt>
                <c:pt idx="1">
                  <c:v>7.03</c:v>
                </c:pt>
                <c:pt idx="2">
                  <c:v>7.22</c:v>
                </c:pt>
                <c:pt idx="3">
                  <c:v>6.81</c:v>
                </c:pt>
                <c:pt idx="4">
                  <c:v>6.18</c:v>
                </c:pt>
                <c:pt idx="5">
                  <c:v>5.89</c:v>
                </c:pt>
                <c:pt idx="6">
                  <c:v>5.7</c:v>
                </c:pt>
                <c:pt idx="7">
                  <c:v>5.48</c:v>
                </c:pt>
                <c:pt idx="8">
                  <c:v>5.57</c:v>
                </c:pt>
                <c:pt idx="9">
                  <c:v>5.54</c:v>
                </c:pt>
                <c:pt idx="10">
                  <c:v>5.68</c:v>
                </c:pt>
                <c:pt idx="11">
                  <c:v>5.27</c:v>
                </c:pt>
                <c:pt idx="12">
                  <c:v>4.75</c:v>
                </c:pt>
                <c:pt idx="13">
                  <c:v>4.37</c:v>
                </c:pt>
                <c:pt idx="14">
                  <c:v>4.28</c:v>
                </c:pt>
                <c:pt idx="15">
                  <c:v>3.97</c:v>
                </c:pt>
                <c:pt idx="16">
                  <c:v>4.04</c:v>
                </c:pt>
                <c:pt idx="17">
                  <c:v>4.2</c:v>
                </c:pt>
                <c:pt idx="18">
                  <c:v>4.6399999999999997</c:v>
                </c:pt>
                <c:pt idx="19">
                  <c:v>4.75</c:v>
                </c:pt>
                <c:pt idx="20">
                  <c:v>4.75</c:v>
                </c:pt>
                <c:pt idx="21">
                  <c:v>4.47</c:v>
                </c:pt>
                <c:pt idx="22">
                  <c:v>5.04</c:v>
                </c:pt>
                <c:pt idx="23">
                  <c:v>5.22</c:v>
                </c:pt>
                <c:pt idx="24">
                  <c:v>5.55</c:v>
                </c:pt>
                <c:pt idx="25">
                  <c:v>5.79</c:v>
                </c:pt>
                <c:pt idx="26">
                  <c:v>5.81</c:v>
                </c:pt>
                <c:pt idx="27">
                  <c:v>6.26</c:v>
                </c:pt>
                <c:pt idx="28">
                  <c:v>6.83</c:v>
                </c:pt>
                <c:pt idx="29">
                  <c:v>8.4</c:v>
                </c:pt>
                <c:pt idx="30">
                  <c:v>8.5299999999999994</c:v>
                </c:pt>
                <c:pt idx="31">
                  <c:v>8.64</c:v>
                </c:pt>
                <c:pt idx="32">
                  <c:v>5.95</c:v>
                </c:pt>
                <c:pt idx="33">
                  <c:v>6.22</c:v>
                </c:pt>
                <c:pt idx="34">
                  <c:v>6.56</c:v>
                </c:pt>
                <c:pt idx="35">
                  <c:v>6.41</c:v>
                </c:pt>
                <c:pt idx="36">
                  <c:v>6.55</c:v>
                </c:pt>
                <c:pt idx="37">
                  <c:v>6.1</c:v>
                </c:pt>
                <c:pt idx="38">
                  <c:v>6.24</c:v>
                </c:pt>
                <c:pt idx="39">
                  <c:v>6.81</c:v>
                </c:pt>
                <c:pt idx="40">
                  <c:v>7.54</c:v>
                </c:pt>
                <c:pt idx="41">
                  <c:v>6.59</c:v>
                </c:pt>
                <c:pt idx="42">
                  <c:v>6.43</c:v>
                </c:pt>
                <c:pt idx="43">
                  <c:v>4.78</c:v>
                </c:pt>
                <c:pt idx="44">
                  <c:v>4.29</c:v>
                </c:pt>
                <c:pt idx="45">
                  <c:v>4.34</c:v>
                </c:pt>
                <c:pt idx="46">
                  <c:v>4.91</c:v>
                </c:pt>
                <c:pt idx="47">
                  <c:v>4.99</c:v>
                </c:pt>
                <c:pt idx="48">
                  <c:v>5.1100000000000003</c:v>
                </c:pt>
                <c:pt idx="49">
                  <c:v>4.41</c:v>
                </c:pt>
                <c:pt idx="50">
                  <c:v>3.72</c:v>
                </c:pt>
                <c:pt idx="51">
                  <c:v>3.54</c:v>
                </c:pt>
                <c:pt idx="52">
                  <c:v>3.32</c:v>
                </c:pt>
                <c:pt idx="53">
                  <c:v>3.17</c:v>
                </c:pt>
                <c:pt idx="54">
                  <c:v>4.2300000000000004</c:v>
                </c:pt>
                <c:pt idx="55">
                  <c:v>3.93</c:v>
                </c:pt>
                <c:pt idx="56">
                  <c:v>3.84</c:v>
                </c:pt>
                <c:pt idx="57">
                  <c:v>3.62</c:v>
                </c:pt>
                <c:pt idx="58">
                  <c:v>3.75</c:v>
                </c:pt>
                <c:pt idx="59">
                  <c:v>3.07</c:v>
                </c:pt>
                <c:pt idx="60">
                  <c:v>2.8</c:v>
                </c:pt>
                <c:pt idx="61">
                  <c:v>2.98</c:v>
                </c:pt>
                <c:pt idx="62">
                  <c:v>2.78</c:v>
                </c:pt>
                <c:pt idx="63">
                  <c:v>2.66</c:v>
                </c:pt>
                <c:pt idx="64">
                  <c:v>2.35</c:v>
                </c:pt>
                <c:pt idx="65">
                  <c:v>2.12</c:v>
                </c:pt>
                <c:pt idx="66">
                  <c:v>2.2599999999999998</c:v>
                </c:pt>
                <c:pt idx="67">
                  <c:v>2.09</c:v>
                </c:pt>
                <c:pt idx="68">
                  <c:v>2.23</c:v>
                </c:pt>
                <c:pt idx="69">
                  <c:v>1.82</c:v>
                </c:pt>
                <c:pt idx="70">
                  <c:v>1.06</c:v>
                </c:pt>
                <c:pt idx="71">
                  <c:v>0.47</c:v>
                </c:pt>
                <c:pt idx="72" formatCode="0.00">
                  <c:v>0.80861620088190755</c:v>
                </c:pt>
                <c:pt idx="73" formatCode="0.00">
                  <c:v>1.3467621625278987</c:v>
                </c:pt>
                <c:pt idx="74" formatCode="0.00">
                  <c:v>1.559987170066129</c:v>
                </c:pt>
                <c:pt idx="75" formatCode="0.00">
                  <c:v>1.5887033673035931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F7-8888-071A79EF7303}"/>
            </c:ext>
          </c:extLst>
        </c:ser>
        <c:ser>
          <c:idx val="2"/>
          <c:order val="2"/>
          <c:tx>
            <c:strRef>
              <c:f>prinos!$Z$2</c:f>
              <c:strCache>
                <c:ptCount val="1"/>
                <c:pt idx="0">
                  <c:v>yld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prinos!$A$3:$A$78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prinos!$Z$3:$Z$78</c:f>
              <c:numCache>
                <c:formatCode>General</c:formatCode>
                <c:ptCount val="76"/>
                <c:pt idx="0">
                  <c:v>6.86</c:v>
                </c:pt>
                <c:pt idx="1">
                  <c:v>7.03</c:v>
                </c:pt>
                <c:pt idx="2">
                  <c:v>7.22</c:v>
                </c:pt>
                <c:pt idx="3">
                  <c:v>6.81</c:v>
                </c:pt>
                <c:pt idx="4">
                  <c:v>6.18</c:v>
                </c:pt>
                <c:pt idx="5">
                  <c:v>5.89</c:v>
                </c:pt>
                <c:pt idx="6">
                  <c:v>5.7</c:v>
                </c:pt>
                <c:pt idx="7">
                  <c:v>5.48</c:v>
                </c:pt>
                <c:pt idx="8">
                  <c:v>5.57</c:v>
                </c:pt>
                <c:pt idx="9">
                  <c:v>5.54</c:v>
                </c:pt>
                <c:pt idx="10">
                  <c:v>5.68</c:v>
                </c:pt>
                <c:pt idx="11">
                  <c:v>5.27</c:v>
                </c:pt>
                <c:pt idx="12">
                  <c:v>4.75</c:v>
                </c:pt>
                <c:pt idx="13">
                  <c:v>4.37</c:v>
                </c:pt>
                <c:pt idx="14">
                  <c:v>4.28</c:v>
                </c:pt>
                <c:pt idx="15">
                  <c:v>3.97</c:v>
                </c:pt>
                <c:pt idx="16">
                  <c:v>4.04</c:v>
                </c:pt>
                <c:pt idx="17">
                  <c:v>4.2</c:v>
                </c:pt>
                <c:pt idx="18">
                  <c:v>4.6399999999999997</c:v>
                </c:pt>
                <c:pt idx="19">
                  <c:v>4.75</c:v>
                </c:pt>
                <c:pt idx="20">
                  <c:v>4.75</c:v>
                </c:pt>
                <c:pt idx="21">
                  <c:v>4.47</c:v>
                </c:pt>
                <c:pt idx="22">
                  <c:v>5.04</c:v>
                </c:pt>
                <c:pt idx="23">
                  <c:v>5.22</c:v>
                </c:pt>
                <c:pt idx="24">
                  <c:v>5.55</c:v>
                </c:pt>
                <c:pt idx="25">
                  <c:v>5.79</c:v>
                </c:pt>
                <c:pt idx="26">
                  <c:v>5.81</c:v>
                </c:pt>
                <c:pt idx="27">
                  <c:v>6.26</c:v>
                </c:pt>
                <c:pt idx="28">
                  <c:v>6.83</c:v>
                </c:pt>
                <c:pt idx="29">
                  <c:v>8.4</c:v>
                </c:pt>
                <c:pt idx="30">
                  <c:v>8.5299999999999994</c:v>
                </c:pt>
                <c:pt idx="31">
                  <c:v>8.64</c:v>
                </c:pt>
                <c:pt idx="32">
                  <c:v>5.95</c:v>
                </c:pt>
                <c:pt idx="33">
                  <c:v>6.22</c:v>
                </c:pt>
                <c:pt idx="34">
                  <c:v>6.56</c:v>
                </c:pt>
                <c:pt idx="35">
                  <c:v>6.41</c:v>
                </c:pt>
                <c:pt idx="36">
                  <c:v>6.55</c:v>
                </c:pt>
                <c:pt idx="37">
                  <c:v>6.1</c:v>
                </c:pt>
                <c:pt idx="38">
                  <c:v>6.24</c:v>
                </c:pt>
                <c:pt idx="39">
                  <c:v>6.81</c:v>
                </c:pt>
                <c:pt idx="40">
                  <c:v>7.54</c:v>
                </c:pt>
                <c:pt idx="41">
                  <c:v>6.59</c:v>
                </c:pt>
                <c:pt idx="42">
                  <c:v>6.43</c:v>
                </c:pt>
                <c:pt idx="43">
                  <c:v>4.78</c:v>
                </c:pt>
                <c:pt idx="44">
                  <c:v>4.29</c:v>
                </c:pt>
                <c:pt idx="45">
                  <c:v>4.34</c:v>
                </c:pt>
                <c:pt idx="46">
                  <c:v>4.91</c:v>
                </c:pt>
                <c:pt idx="47">
                  <c:v>4.99</c:v>
                </c:pt>
                <c:pt idx="48">
                  <c:v>5.1100000000000003</c:v>
                </c:pt>
                <c:pt idx="49">
                  <c:v>4.41</c:v>
                </c:pt>
                <c:pt idx="50">
                  <c:v>3.72</c:v>
                </c:pt>
                <c:pt idx="51">
                  <c:v>3.54</c:v>
                </c:pt>
                <c:pt idx="52">
                  <c:v>3.32</c:v>
                </c:pt>
                <c:pt idx="53">
                  <c:v>3.17</c:v>
                </c:pt>
                <c:pt idx="54">
                  <c:v>4.2300000000000004</c:v>
                </c:pt>
                <c:pt idx="55">
                  <c:v>3.93</c:v>
                </c:pt>
                <c:pt idx="56">
                  <c:v>3.84</c:v>
                </c:pt>
                <c:pt idx="57">
                  <c:v>3.62</c:v>
                </c:pt>
                <c:pt idx="58">
                  <c:v>3.75</c:v>
                </c:pt>
                <c:pt idx="59">
                  <c:v>3.07</c:v>
                </c:pt>
                <c:pt idx="60">
                  <c:v>2.8</c:v>
                </c:pt>
                <c:pt idx="61">
                  <c:v>2.98</c:v>
                </c:pt>
                <c:pt idx="62">
                  <c:v>2.78</c:v>
                </c:pt>
                <c:pt idx="63">
                  <c:v>2.66</c:v>
                </c:pt>
                <c:pt idx="64">
                  <c:v>2.35</c:v>
                </c:pt>
                <c:pt idx="65">
                  <c:v>2.12</c:v>
                </c:pt>
                <c:pt idx="66">
                  <c:v>2.2599999999999998</c:v>
                </c:pt>
                <c:pt idx="67">
                  <c:v>2.09</c:v>
                </c:pt>
                <c:pt idx="68">
                  <c:v>2.23</c:v>
                </c:pt>
                <c:pt idx="69">
                  <c:v>1.82</c:v>
                </c:pt>
                <c:pt idx="70">
                  <c:v>1.06</c:v>
                </c:pt>
                <c:pt idx="71">
                  <c:v>0.47</c:v>
                </c:pt>
                <c:pt idx="72" formatCode="0.00">
                  <c:v>0.77818707419960975</c:v>
                </c:pt>
                <c:pt idx="73" formatCode="0.00">
                  <c:v>1.2476972967891076</c:v>
                </c:pt>
                <c:pt idx="74" formatCode="0.00">
                  <c:v>1.4515587335504649</c:v>
                </c:pt>
                <c:pt idx="75" formatCode="0.00">
                  <c:v>1.5091847331059736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8-4AF7-8888-071A79EF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288927"/>
        <c:axId val="879290175"/>
      </c:lineChart>
      <c:dateAx>
        <c:axId val="879288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9290175"/>
        <c:crosses val="autoZero"/>
        <c:auto val="1"/>
        <c:lblOffset val="100"/>
        <c:baseTimeUnit val="months"/>
      </c:dateAx>
      <c:valAx>
        <c:axId val="8792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92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kstope!$B$2</c:f>
              <c:strCache>
                <c:ptCount val="1"/>
                <c:pt idx="0">
                  <c:v>kks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kstope!$A$3:$A$78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kstope!$B$3:$B$78</c:f>
              <c:numCache>
                <c:formatCode>#,##0.00</c:formatCode>
                <c:ptCount val="76"/>
                <c:pt idx="0">
                  <c:v>10.203802021823027</c:v>
                </c:pt>
                <c:pt idx="1">
                  <c:v>10.971615479063095</c:v>
                </c:pt>
                <c:pt idx="2">
                  <c:v>11.196896711463111</c:v>
                </c:pt>
                <c:pt idx="3">
                  <c:v>10.376249236273903</c:v>
                </c:pt>
                <c:pt idx="4">
                  <c:v>9.7543611623486743</c:v>
                </c:pt>
                <c:pt idx="5">
                  <c:v>9.7662938063104683</c:v>
                </c:pt>
                <c:pt idx="6">
                  <c:v>10.317305232046301</c:v>
                </c:pt>
                <c:pt idx="7">
                  <c:v>9.6760175120490395</c:v>
                </c:pt>
                <c:pt idx="8">
                  <c:v>8.897918571524583</c:v>
                </c:pt>
                <c:pt idx="9">
                  <c:v>9.5021468879323923</c:v>
                </c:pt>
                <c:pt idx="10">
                  <c:v>10.077823022838334</c:v>
                </c:pt>
                <c:pt idx="11">
                  <c:v>9.6316071020483118</c:v>
                </c:pt>
                <c:pt idx="12">
                  <c:v>9.1284850891557383</c:v>
                </c:pt>
                <c:pt idx="13">
                  <c:v>9.1043223166424667</c:v>
                </c:pt>
                <c:pt idx="14">
                  <c:v>9.4685691361919577</c:v>
                </c:pt>
                <c:pt idx="15">
                  <c:v>8.5849364469215868</c:v>
                </c:pt>
                <c:pt idx="16">
                  <c:v>8.1891794632643098</c:v>
                </c:pt>
                <c:pt idx="17">
                  <c:v>8.9117407172703835</c:v>
                </c:pt>
                <c:pt idx="18">
                  <c:v>8.9353107794524576</c:v>
                </c:pt>
                <c:pt idx="19">
                  <c:v>8.7935166132953935</c:v>
                </c:pt>
                <c:pt idx="20">
                  <c:v>8.1968071315474091</c:v>
                </c:pt>
                <c:pt idx="21">
                  <c:v>8.813725503792103</c:v>
                </c:pt>
                <c:pt idx="22">
                  <c:v>9.3415510150639367</c:v>
                </c:pt>
                <c:pt idx="23">
                  <c:v>9.0134137687054157</c:v>
                </c:pt>
                <c:pt idx="24">
                  <c:v>8.5556199752349702</c:v>
                </c:pt>
                <c:pt idx="25">
                  <c:v>9.4080681277911484</c:v>
                </c:pt>
                <c:pt idx="26">
                  <c:v>10.032822848831886</c:v>
                </c:pt>
                <c:pt idx="27">
                  <c:v>10.13248673066844</c:v>
                </c:pt>
                <c:pt idx="28">
                  <c:v>10.174293590304348</c:v>
                </c:pt>
                <c:pt idx="29">
                  <c:v>10.702430781182846</c:v>
                </c:pt>
                <c:pt idx="30">
                  <c:v>11.524706108858707</c:v>
                </c:pt>
                <c:pt idx="31">
                  <c:v>10.622468297818509</c:v>
                </c:pt>
                <c:pt idx="32">
                  <c:v>9.4145415746893306</c:v>
                </c:pt>
                <c:pt idx="33">
                  <c:v>9.5645289843469286</c:v>
                </c:pt>
                <c:pt idx="34">
                  <c:v>9.9995320211083669</c:v>
                </c:pt>
                <c:pt idx="35">
                  <c:v>9.2989757834066147</c:v>
                </c:pt>
                <c:pt idx="36">
                  <c:v>9.0738595216319737</c:v>
                </c:pt>
                <c:pt idx="37">
                  <c:v>9.2057790361843104</c:v>
                </c:pt>
                <c:pt idx="38">
                  <c:v>9.3856557288438616</c:v>
                </c:pt>
                <c:pt idx="39">
                  <c:v>9.2620734426870364</c:v>
                </c:pt>
                <c:pt idx="40">
                  <c:v>9.0738595216319737</c:v>
                </c:pt>
                <c:pt idx="41">
                  <c:v>9.2057790361843104</c:v>
                </c:pt>
                <c:pt idx="42">
                  <c:v>9.3856557288438616</c:v>
                </c:pt>
                <c:pt idx="43">
                  <c:v>9.0516177399443372</c:v>
                </c:pt>
                <c:pt idx="44">
                  <c:v>9.0737698177362258</c:v>
                </c:pt>
                <c:pt idx="45">
                  <c:v>8.7744357872498675</c:v>
                </c:pt>
                <c:pt idx="46">
                  <c:v>8.5550672160763757</c:v>
                </c:pt>
                <c:pt idx="47">
                  <c:v>8.1627736169334426</c:v>
                </c:pt>
                <c:pt idx="48">
                  <c:v>8.1218224994627377</c:v>
                </c:pt>
                <c:pt idx="49">
                  <c:v>8.1907738973199216</c:v>
                </c:pt>
                <c:pt idx="50">
                  <c:v>8.0539317359124123</c:v>
                </c:pt>
                <c:pt idx="51">
                  <c:v>7.9207029171446734</c:v>
                </c:pt>
                <c:pt idx="52">
                  <c:v>7.7461153320346847</c:v>
                </c:pt>
                <c:pt idx="53">
                  <c:v>7.8806741511939791</c:v>
                </c:pt>
                <c:pt idx="54">
                  <c:v>7.4572010065440582</c:v>
                </c:pt>
                <c:pt idx="55">
                  <c:v>7.3669886765019656</c:v>
                </c:pt>
                <c:pt idx="56">
                  <c:v>6.7988516250244571</c:v>
                </c:pt>
                <c:pt idx="57">
                  <c:v>6.8388510807878609</c:v>
                </c:pt>
                <c:pt idx="58">
                  <c:v>6.6967794250920232</c:v>
                </c:pt>
                <c:pt idx="59">
                  <c:v>6.6976397205007254</c:v>
                </c:pt>
                <c:pt idx="60">
                  <c:v>6.7756154459704083</c:v>
                </c:pt>
                <c:pt idx="61">
                  <c:v>6.779869405942156</c:v>
                </c:pt>
                <c:pt idx="62">
                  <c:v>6.7475239428247615</c:v>
                </c:pt>
                <c:pt idx="63">
                  <c:v>6.0833202722275148</c:v>
                </c:pt>
                <c:pt idx="64">
                  <c:v>5.9295090792082945</c:v>
                </c:pt>
                <c:pt idx="65">
                  <c:v>6.1886260215069404</c:v>
                </c:pt>
                <c:pt idx="66">
                  <c:v>5.8871190102159723</c:v>
                </c:pt>
                <c:pt idx="67">
                  <c:v>5.7731940247603148</c:v>
                </c:pt>
                <c:pt idx="68">
                  <c:v>5.7477218100096588</c:v>
                </c:pt>
                <c:pt idx="69">
                  <c:v>5.7674461642034434</c:v>
                </c:pt>
                <c:pt idx="70">
                  <c:v>5.6000556649403119</c:v>
                </c:pt>
                <c:pt idx="71">
                  <c:v>5.3034085089182215</c:v>
                </c:pt>
                <c:pt idx="72">
                  <c:v>5.20691282065573</c:v>
                </c:pt>
                <c:pt idx="73">
                  <c:v>5.2821819371730836</c:v>
                </c:pt>
                <c:pt idx="74">
                  <c:v>5.3830466462985465</c:v>
                </c:pt>
                <c:pt idx="75">
                  <c:v>5.4512056815907179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E-4F76-8733-2EE4A10D84CB}"/>
            </c:ext>
          </c:extLst>
        </c:ser>
        <c:ser>
          <c:idx val="1"/>
          <c:order val="1"/>
          <c:tx>
            <c:strRef>
              <c:f>kstope!$C$2</c:f>
              <c:strCache>
                <c:ptCount val="1"/>
                <c:pt idx="0">
                  <c:v>dks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kstope!$A$3:$A$78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kstope!$C$3:$C$78</c:f>
              <c:numCache>
                <c:formatCode>#,##0.00</c:formatCode>
                <c:ptCount val="76"/>
                <c:pt idx="15">
                  <c:v>6.3156164567222994</c:v>
                </c:pt>
                <c:pt idx="16">
                  <c:v>6.8025216141603089</c:v>
                </c:pt>
                <c:pt idx="17">
                  <c:v>6.7024130577264698</c:v>
                </c:pt>
                <c:pt idx="18">
                  <c:v>7.1506196753550544</c:v>
                </c:pt>
                <c:pt idx="19">
                  <c:v>6.6005280834442237</c:v>
                </c:pt>
                <c:pt idx="20">
                  <c:v>6.8954213452860724</c:v>
                </c:pt>
                <c:pt idx="21">
                  <c:v>7.036892576508615</c:v>
                </c:pt>
                <c:pt idx="22">
                  <c:v>7.4447894500980603</c:v>
                </c:pt>
                <c:pt idx="23">
                  <c:v>7.1304071031017289</c:v>
                </c:pt>
                <c:pt idx="24">
                  <c:v>7.7213317064118794</c:v>
                </c:pt>
                <c:pt idx="25">
                  <c:v>7.9579358285881669</c:v>
                </c:pt>
                <c:pt idx="26">
                  <c:v>7.8384623880750866</c:v>
                </c:pt>
                <c:pt idx="27">
                  <c:v>7.8633992841038092</c:v>
                </c:pt>
                <c:pt idx="28">
                  <c:v>8.213225520517458</c:v>
                </c:pt>
                <c:pt idx="29">
                  <c:v>8.4183951732151758</c:v>
                </c:pt>
                <c:pt idx="30">
                  <c:v>8.2614760028667451</c:v>
                </c:pt>
                <c:pt idx="31">
                  <c:v>8.1994379061833058</c:v>
                </c:pt>
                <c:pt idx="32">
                  <c:v>8.3382705110944642</c:v>
                </c:pt>
                <c:pt idx="33">
                  <c:v>7.2361488881867384</c:v>
                </c:pt>
                <c:pt idx="34">
                  <c:v>8.0551831003679677</c:v>
                </c:pt>
                <c:pt idx="35">
                  <c:v>7.4719224729320421</c:v>
                </c:pt>
                <c:pt idx="36">
                  <c:v>7.7931422632367022</c:v>
                </c:pt>
                <c:pt idx="37">
                  <c:v>7.12305051227451</c:v>
                </c:pt>
                <c:pt idx="38">
                  <c:v>6.9044840100039728</c:v>
                </c:pt>
                <c:pt idx="39">
                  <c:v>8.2973139186193876</c:v>
                </c:pt>
                <c:pt idx="40">
                  <c:v>8.6974258098922466</c:v>
                </c:pt>
                <c:pt idx="41">
                  <c:v>8.3936710548261075</c:v>
                </c:pt>
                <c:pt idx="42">
                  <c:v>8.4954346380338794</c:v>
                </c:pt>
                <c:pt idx="43">
                  <c:v>8.1681318649890269</c:v>
                </c:pt>
                <c:pt idx="44">
                  <c:v>8.2508639916089237</c:v>
                </c:pt>
                <c:pt idx="45">
                  <c:v>8.1752419659962765</c:v>
                </c:pt>
                <c:pt idx="46">
                  <c:v>8.4751057514151213</c:v>
                </c:pt>
                <c:pt idx="47">
                  <c:v>7.9815141439801991</c:v>
                </c:pt>
                <c:pt idx="48">
                  <c:v>8.0968661278290153</c:v>
                </c:pt>
                <c:pt idx="49">
                  <c:v>8.0377235523691901</c:v>
                </c:pt>
                <c:pt idx="50">
                  <c:v>8.0905536577693375</c:v>
                </c:pt>
                <c:pt idx="51">
                  <c:v>7.4199699024953247</c:v>
                </c:pt>
                <c:pt idx="52">
                  <c:v>7.7803689795146216</c:v>
                </c:pt>
                <c:pt idx="53">
                  <c:v>7.4207007304054793</c:v>
                </c:pt>
                <c:pt idx="54">
                  <c:v>7.463197074229762</c:v>
                </c:pt>
                <c:pt idx="55">
                  <c:v>6.1542007858131074</c:v>
                </c:pt>
                <c:pt idx="56">
                  <c:v>6.6286284616258646</c:v>
                </c:pt>
                <c:pt idx="57">
                  <c:v>6.4896024050653338</c:v>
                </c:pt>
                <c:pt idx="58">
                  <c:v>6.3431531473707778</c:v>
                </c:pt>
                <c:pt idx="59">
                  <c:v>5.5566104476887261</c:v>
                </c:pt>
                <c:pt idx="60">
                  <c:v>5.5575043771093888</c:v>
                </c:pt>
                <c:pt idx="61">
                  <c:v>5.7143864203134358</c:v>
                </c:pt>
                <c:pt idx="62">
                  <c:v>5.9364190836570652</c:v>
                </c:pt>
                <c:pt idx="63">
                  <c:v>4.6785761835220567</c:v>
                </c:pt>
                <c:pt idx="64">
                  <c:v>5.2541416779102459</c:v>
                </c:pt>
                <c:pt idx="65">
                  <c:v>5.046486473771731</c:v>
                </c:pt>
                <c:pt idx="66">
                  <c:v>4.7830686151030966</c:v>
                </c:pt>
                <c:pt idx="67">
                  <c:v>4.7195912536756222</c:v>
                </c:pt>
                <c:pt idx="68">
                  <c:v>4.8871524907366499</c:v>
                </c:pt>
                <c:pt idx="69">
                  <c:v>4.4718246634376211</c:v>
                </c:pt>
                <c:pt idx="70">
                  <c:v>4.5288650329364533</c:v>
                </c:pt>
                <c:pt idx="71">
                  <c:v>3.8212305193457872</c:v>
                </c:pt>
                <c:pt idx="72">
                  <c:v>4.2570667075673647</c:v>
                </c:pt>
                <c:pt idx="73">
                  <c:v>4.1981528965239274</c:v>
                </c:pt>
                <c:pt idx="74">
                  <c:v>4.1754670204419462</c:v>
                </c:pt>
                <c:pt idx="75">
                  <c:v>4.1855217848576842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E-4F76-8733-2EE4A10D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06592"/>
        <c:axId val="634201600"/>
      </c:lineChart>
      <c:dateAx>
        <c:axId val="63420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34201600"/>
        <c:crosses val="autoZero"/>
        <c:auto val="1"/>
        <c:lblOffset val="100"/>
        <c:baseTimeUnit val="months"/>
      </c:dateAx>
      <c:valAx>
        <c:axId val="634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34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bdp!$BF$36:$BF$112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-0.19014317796041413</c:v>
                </c:pt>
                <c:pt idx="76">
                  <c:v>-0.23154432940285918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637-96A1-0DE756B8D3B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bdp!$BG$36:$BG$112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-0.17397924899175543</c:v>
                </c:pt>
                <c:pt idx="76">
                  <c:v>-0.20616542836488028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637-96A1-0DE756B8D3BB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bdp!$BH$36:$BH$112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-0.15680507446255565</c:v>
                </c:pt>
                <c:pt idx="76">
                  <c:v>-0.17473663345894874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637-96A1-0DE756B8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3139"/>
        <c:axId val="1923781445"/>
      </c:lineChart>
      <c:dateAx>
        <c:axId val="1126623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923781445"/>
        <c:crosses val="autoZero"/>
        <c:auto val="1"/>
        <c:lblOffset val="100"/>
        <c:baseTimeUnit val="months"/>
      </c:dateAx>
      <c:valAx>
        <c:axId val="1923781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12662313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tecaj!$B$1</c:f>
              <c:strCache>
                <c:ptCount val="1"/>
                <c:pt idx="0">
                  <c:v>reserv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tecaj!$B$2:$B$85</c:f>
              <c:numCache>
                <c:formatCode>General</c:formatCode>
                <c:ptCount val="84"/>
                <c:pt idx="3" formatCode="_(* #,##0.00_);_(* \(#,##0.00\);_(* &quot;-&quot;??_);_(@_)">
                  <c:v>0.67727361538637554</c:v>
                </c:pt>
                <c:pt idx="4" formatCode="_(* #,##0.00_);_(* \(#,##0.00\);_(* &quot;-&quot;??_);_(@_)">
                  <c:v>0.84449923674562588</c:v>
                </c:pt>
                <c:pt idx="5" formatCode="_(* #,##0.00_);_(* \(#,##0.00\);_(* &quot;-&quot;??_);_(@_)">
                  <c:v>0.93708952847828242</c:v>
                </c:pt>
                <c:pt idx="6" formatCode="_(* #,##0.00_);_(* \(#,##0.00\);_(* &quot;-&quot;??_);_(@_)">
                  <c:v>1.124809554567229</c:v>
                </c:pt>
                <c:pt idx="7" formatCode="_(* #,##0.00_);_(* \(#,##0.00\);_(* &quot;-&quot;??_);_(@_)">
                  <c:v>1.5489828212502661</c:v>
                </c:pt>
                <c:pt idx="8" formatCode="_(* #,##0.00_);_(* \(#,##0.00\);_(* &quot;-&quot;??_);_(@_)">
                  <c:v>1.6484544313248879</c:v>
                </c:pt>
                <c:pt idx="9" formatCode="_(* #,##0.00_);_(* \(#,##0.00\);_(* &quot;-&quot;??_);_(@_)">
                  <c:v>1.4939809081800617</c:v>
                </c:pt>
                <c:pt idx="10" formatCode="_(* #,##0.00_);_(* \(#,##0.00\);_(* &quot;-&quot;??_);_(@_)">
                  <c:v>1.1862530092042463</c:v>
                </c:pt>
                <c:pt idx="11" formatCode="_(* #,##0.00_);_(* \(#,##0.00\);_(* &quot;-&quot;??_);_(@_)">
                  <c:v>0.74186618808288962</c:v>
                </c:pt>
                <c:pt idx="12" formatCode="_(* #,##0.00_);_(* \(#,##0.00\);_(* &quot;-&quot;??_);_(@_)">
                  <c:v>0.67055415725125544</c:v>
                </c:pt>
                <c:pt idx="13" formatCode="_(* #,##0.00_);_(* \(#,##0.00\);_(* &quot;-&quot;??_);_(@_)">
                  <c:v>0.62248348055174763</c:v>
                </c:pt>
                <c:pt idx="14" formatCode="_(* #,##0.00_);_(* \(#,##0.00\);_(* &quot;-&quot;??_);_(@_)">
                  <c:v>0.7008915698789604</c:v>
                </c:pt>
                <c:pt idx="15" formatCode="_(* #,##0.00_);_(* \(#,##0.00\);_(* &quot;-&quot;??_);_(@_)">
                  <c:v>1.2354710240709235</c:v>
                </c:pt>
                <c:pt idx="16" formatCode="_(* #,##0.00_);_(* \(#,##0.00\);_(* &quot;-&quot;??_);_(@_)">
                  <c:v>0.63289258238990642</c:v>
                </c:pt>
                <c:pt idx="17" formatCode="_(* #,##0.00_);_(* \(#,##0.00\);_(* &quot;-&quot;??_);_(@_)">
                  <c:v>0.5817448602155334</c:v>
                </c:pt>
                <c:pt idx="18" formatCode="_(* #,##0.00_);_(* \(#,##0.00\);_(* &quot;-&quot;??_);_(@_)">
                  <c:v>0.42030870240975721</c:v>
                </c:pt>
                <c:pt idx="19" formatCode="_(* #,##0.00_);_(* \(#,##0.00\);_(* &quot;-&quot;??_);_(@_)">
                  <c:v>4.3033827075195742E-2</c:v>
                </c:pt>
                <c:pt idx="20" formatCode="_(* #,##0.00_);_(* \(#,##0.00\);_(* &quot;-&quot;??_);_(@_)">
                  <c:v>0.65276711277459487</c:v>
                </c:pt>
                <c:pt idx="21" formatCode="_(* #,##0.00_);_(* \(#,##0.00\);_(* &quot;-&quot;??_);_(@_)">
                  <c:v>0.73245210931552807</c:v>
                </c:pt>
                <c:pt idx="22" formatCode="_(* #,##0.00_);_(* \(#,##0.00\);_(* &quot;-&quot;??_);_(@_)">
                  <c:v>0.57626136574141062</c:v>
                </c:pt>
                <c:pt idx="23" formatCode="_(* #,##0.00_);_(* \(#,##0.00\);_(* &quot;-&quot;??_);_(@_)">
                  <c:v>0.82181006774759069</c:v>
                </c:pt>
                <c:pt idx="24" formatCode="_(* #,##0.00_);_(* \(#,##0.00\);_(* &quot;-&quot;??_);_(@_)">
                  <c:v>1.3062872386471627</c:v>
                </c:pt>
                <c:pt idx="25" formatCode="_(* #,##0.00_);_(* \(#,##0.00\);_(* &quot;-&quot;??_);_(@_)">
                  <c:v>1.7210848997892827</c:v>
                </c:pt>
                <c:pt idx="26" formatCode="_(* #,##0.00_);_(* \(#,##0.00\);_(* &quot;-&quot;??_);_(@_)">
                  <c:v>1.1922462351050542</c:v>
                </c:pt>
                <c:pt idx="27" formatCode="_(* #,##0.00_);_(* \(#,##0.00\);_(* &quot;-&quot;??_);_(@_)">
                  <c:v>1.4122303304319748</c:v>
                </c:pt>
                <c:pt idx="28" formatCode="_(* #,##0.00_);_(* \(#,##0.00\);_(* &quot;-&quot;??_);_(@_)">
                  <c:v>1.5478132552727135</c:v>
                </c:pt>
                <c:pt idx="29" formatCode="_(* #,##0.00_);_(* \(#,##0.00\);_(* &quot;-&quot;??_);_(@_)">
                  <c:v>0.51476567897705328</c:v>
                </c:pt>
                <c:pt idx="30" formatCode="_(* #,##0.00_);_(* \(#,##0.00\);_(* &quot;-&quot;??_);_(@_)">
                  <c:v>0.80071888759359422</c:v>
                </c:pt>
                <c:pt idx="31" formatCode="_(* #,##0.00_);_(* \(#,##0.00\);_(* &quot;-&quot;??_);_(@_)">
                  <c:v>0.72161587208356071</c:v>
                </c:pt>
                <c:pt idx="32" formatCode="_(* #,##0.00_);_(* \(#,##0.00\);_(* &quot;-&quot;??_);_(@_)">
                  <c:v>0.60940991598461947</c:v>
                </c:pt>
                <c:pt idx="33" formatCode="_(* #,##0.00_);_(* \(#,##0.00\);_(* &quot;-&quot;??_);_(@_)">
                  <c:v>1.0410291218448331</c:v>
                </c:pt>
                <c:pt idx="34" formatCode="_(* #,##0.00_);_(* \(#,##0.00\);_(* &quot;-&quot;??_);_(@_)">
                  <c:v>0.9684827549057633</c:v>
                </c:pt>
                <c:pt idx="35" formatCode="_(* #,##0.00_);_(* \(#,##0.00\);_(* &quot;-&quot;??_);_(@_)">
                  <c:v>-0.33040216344660861</c:v>
                </c:pt>
                <c:pt idx="36" formatCode="_(* #,##0.00_);_(* \(#,##0.00\);_(* &quot;-&quot;??_);_(@_)">
                  <c:v>-1.4370106404671743</c:v>
                </c:pt>
                <c:pt idx="37" formatCode="_(* #,##0.00_);_(* \(#,##0.00\);_(* &quot;-&quot;??_);_(@_)">
                  <c:v>-1.201455264418857</c:v>
                </c:pt>
                <c:pt idx="38" formatCode="_(* #,##0.00_);_(* \(#,##0.00\);_(* &quot;-&quot;??_);_(@_)">
                  <c:v>-0.51383931671223082</c:v>
                </c:pt>
                <c:pt idx="39" formatCode="_(* #,##0.00_);_(* \(#,##0.00\);_(* &quot;-&quot;??_);_(@_)">
                  <c:v>1.2282211305437178</c:v>
                </c:pt>
                <c:pt idx="40" formatCode="_(* #,##0.00_);_(* \(#,##0.00\);_(* &quot;-&quot;??_);_(@_)">
                  <c:v>1.1107590629306265</c:v>
                </c:pt>
                <c:pt idx="41" formatCode="_(* #,##0.00_);_(* \(#,##0.00\);_(* &quot;-&quot;??_);_(@_)">
                  <c:v>0.85253652175502148</c:v>
                </c:pt>
                <c:pt idx="42" formatCode="_(* #,##0.00_);_(* \(#,##0.00\);_(* &quot;-&quot;??_);_(@_)">
                  <c:v>1.684340436478899</c:v>
                </c:pt>
                <c:pt idx="43" formatCode="_(* #,##0.00_);_(* \(#,##0.00\);_(* &quot;-&quot;??_);_(@_)">
                  <c:v>0.10678998076057099</c:v>
                </c:pt>
                <c:pt idx="44" formatCode="_(* #,##0.00_);_(* \(#,##0.00\);_(* &quot;-&quot;??_);_(@_)">
                  <c:v>1.5489049778886488</c:v>
                </c:pt>
                <c:pt idx="45" formatCode="_(* #,##0.00_);_(* \(#,##0.00\);_(* &quot;-&quot;??_);_(@_)">
                  <c:v>1.5241392843860273</c:v>
                </c:pt>
                <c:pt idx="46" formatCode="_(* #,##0.00_);_(* \(#,##0.00\);_(* &quot;-&quot;??_);_(@_)">
                  <c:v>0.15357645675743559</c:v>
                </c:pt>
                <c:pt idx="47" formatCode="_(* #,##0.00_);_(* \(#,##0.00\);_(* &quot;-&quot;??_);_(@_)">
                  <c:v>0.4624148303860407</c:v>
                </c:pt>
                <c:pt idx="48" formatCode="_(* #,##0.00_);_(* \(#,##0.00\);_(* &quot;-&quot;??_);_(@_)">
                  <c:v>-0.22891224530877102</c:v>
                </c:pt>
                <c:pt idx="49" formatCode="_(* #,##0.00_);_(* \(#,##0.00\);_(* &quot;-&quot;??_);_(@_)">
                  <c:v>-0.1684898283282722</c:v>
                </c:pt>
                <c:pt idx="50" formatCode="_(* #,##0.00_);_(* \(#,##0.00\);_(* &quot;-&quot;??_);_(@_)">
                  <c:v>-0.11864989309790855</c:v>
                </c:pt>
                <c:pt idx="51" formatCode="_(* #,##0.00_);_(* \(#,##0.00\);_(* &quot;-&quot;??_);_(@_)">
                  <c:v>4.5809949937272491E-2</c:v>
                </c:pt>
                <c:pt idx="52" formatCode="_(* #,##0.00_);_(* \(#,##0.00\);_(* &quot;-&quot;??_);_(@_)">
                  <c:v>-0.21546156237945574</c:v>
                </c:pt>
                <c:pt idx="53" formatCode="_(* #,##0.00_);_(* \(#,##0.00\);_(* &quot;-&quot;??_);_(@_)">
                  <c:v>0.4800136714224616</c:v>
                </c:pt>
                <c:pt idx="54" formatCode="_(* #,##0.00_);_(* \(#,##0.00\);_(* &quot;-&quot;??_);_(@_)">
                  <c:v>0.47917864384892628</c:v>
                </c:pt>
                <c:pt idx="55" formatCode="_(* #,##0.00_);_(* \(#,##0.00\);_(* &quot;-&quot;??_);_(@_)">
                  <c:v>1.8440875550001001</c:v>
                </c:pt>
                <c:pt idx="56" formatCode="_(* #,##0.00_);_(* \(#,##0.00\);_(* &quot;-&quot;??_);_(@_)">
                  <c:v>1.0813852350001003</c:v>
                </c:pt>
                <c:pt idx="57" formatCode="_(* #,##0.00_);_(* \(#,##0.00\);_(* &quot;-&quot;??_);_(@_)">
                  <c:v>0.485899621</c:v>
                </c:pt>
                <c:pt idx="58" formatCode="_(* #,##0.00_);_(* \(#,##0.00\);_(* &quot;-&quot;??_);_(@_)">
                  <c:v>0.26338654199999995</c:v>
                </c:pt>
                <c:pt idx="59" formatCode="_(* #,##0.00_);_(* \(#,##0.00\);_(* &quot;-&quot;??_);_(@_)">
                  <c:v>-0.52988015999999993</c:v>
                </c:pt>
                <c:pt idx="60" formatCode="_(* #,##0.00_);_(* \(#,##0.00\);_(* &quot;-&quot;??_);_(@_)">
                  <c:v>1.386860516</c:v>
                </c:pt>
                <c:pt idx="61" formatCode="_(* #,##0.00_);_(* \(#,##0.00\);_(* &quot;-&quot;??_);_(@_)">
                  <c:v>0.85518806699999994</c:v>
                </c:pt>
                <c:pt idx="62" formatCode="_(* #,##0.00_);_(* \(#,##0.00\);_(* &quot;-&quot;??_);_(@_)">
                  <c:v>1.0208730180000001</c:v>
                </c:pt>
                <c:pt idx="63" formatCode="_(* #,##0.00_);_(* \(#,##0.00\);_(* &quot;-&quot;??_);_(@_)">
                  <c:v>0.7453460860000003</c:v>
                </c:pt>
                <c:pt idx="64" formatCode="_(* #,##0.00_);_(* \(#,##0.00\);_(* &quot;-&quot;??_);_(@_)">
                  <c:v>-0.81775744999999989</c:v>
                </c:pt>
                <c:pt idx="65" formatCode="_(* #,##0.00_);_(* \(#,##0.00\);_(* &quot;-&quot;??_);_(@_)">
                  <c:v>-0.88375095599999975</c:v>
                </c:pt>
                <c:pt idx="66" formatCode="_(* #,##0.00_);_(* \(#,##0.00\);_(* &quot;-&quot;??_);_(@_)">
                  <c:v>-0.49978639900009986</c:v>
                </c:pt>
                <c:pt idx="67" formatCode="_(* #,##0.00_);_(* \(#,##0.00\);_(* &quot;-&quot;??_);_(@_)">
                  <c:v>-0.26468362500010018</c:v>
                </c:pt>
                <c:pt idx="68" formatCode="_(* #,##0.00_);_(* \(#,##0.00\);_(* &quot;-&quot;??_);_(@_)">
                  <c:v>2.8367595549999005</c:v>
                </c:pt>
                <c:pt idx="69" formatCode="_(* #,##0.00_);_(* \(#,##0.00\);_(* &quot;-&quot;??_);_(@_)">
                  <c:v>1.3424280809999005</c:v>
                </c:pt>
                <c:pt idx="70" formatCode="_(* #,##0.00_);_(* \(#,##0.00\);_(* &quot;-&quot;??_);_(@_)">
                  <c:v>2.2103717390000002</c:v>
                </c:pt>
                <c:pt idx="71" formatCode="_(* #,##0.00_);_(* \(#,##0.00\);_(* &quot;-&quot;??_);_(@_)">
                  <c:v>2.5931399290000003</c:v>
                </c:pt>
                <c:pt idx="72" formatCode="_(* #,##0.00_);_(* \(#,##0.00\);_(* &quot;-&quot;??_);_(@_)">
                  <c:v>0.72514427404999993</c:v>
                </c:pt>
                <c:pt idx="73" formatCode="_(* #,##0.00_);_(* \(#,##0.00\);_(* &quot;-&quot;??_);_(@_)">
                  <c:v>2.6334578289700001</c:v>
                </c:pt>
                <c:pt idx="74" formatCode="_(* #,##0.00_);_(* \(#,##0.00\);_(* &quot;-&quot;??_);_(@_)">
                  <c:v>1.6363091218200001</c:v>
                </c:pt>
                <c:pt idx="75" formatCode="_(* #,##0.00_);_(* \(#,##0.00\);_(* &quot;-&quot;??_);_(@_)">
                  <c:v>1.5450404381499998</c:v>
                </c:pt>
                <c:pt idx="76" formatCode="_(* #,##0.00_);_(* \(#,##0.00\);_(* &quot;-&quot;??_);_(@_)">
                  <c:v>1.4848227883499998</c:v>
                </c:pt>
                <c:pt idx="77" formatCode="_(* #,##0.00_);_(* \(#,##0.00\);_(* &quot;-&quot;??_);_(@_)">
                  <c:v>2.9914031417299998</c:v>
                </c:pt>
                <c:pt idx="78" formatCode="_(* #,##0.00_);_(* \(#,##0.00\);_(* &quot;-&quot;??_);_(@_)">
                  <c:v>3.34441078464</c:v>
                </c:pt>
                <c:pt idx="79" formatCode="_(* #,##0.00_);_(* \(#,##0.00\);_(* &quot;-&quot;??_);_(@_)">
                  <c:v>0.98964903605999988</c:v>
                </c:pt>
                <c:pt idx="80" formatCode="_(* #,##0.00_);_(* \(#,##0.00\);_(* &quot;-&quot;??_);_(@_)">
                  <c:v>-2.1531203967779091</c:v>
                </c:pt>
                <c:pt idx="81" formatCode="_(* #,##0.00_);_(* \(#,##0.00\);_(* &quot;-&quot;??_);_(@_)">
                  <c:v>-3.6847575280779092</c:v>
                </c:pt>
                <c:pt idx="82" formatCode="_(* #,##0.00_);_(* \(#,##0.00\);_(* &quot;-&quot;??_);_(@_)">
                  <c:v>-4.050551818837909</c:v>
                </c:pt>
                <c:pt idx="83" formatCode="_(* #,##0.00_);_(* \(#,##0.00\);_(* &quot;-&quot;??_);_(@_)">
                  <c:v>-2.4172278335879089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1-432C-8193-BE2E6E6F7CC3}"/>
            </c:ext>
          </c:extLst>
        </c:ser>
        <c:ser>
          <c:idx val="1"/>
          <c:order val="1"/>
          <c:tx>
            <c:strRef>
              <c:f>tecaj!$C$1</c:f>
              <c:strCache>
                <c:ptCount val="1"/>
                <c:pt idx="0">
                  <c:v>curacc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tecaj!$C$2:$C$85</c:f>
              <c:numCache>
                <c:formatCode>General</c:formatCode>
                <c:ptCount val="84"/>
                <c:pt idx="3" formatCode="_-* #,##0.0\ _k_n_-;\-* #,##0.0\ _k_n_-;_-* &quot;-&quot;??\ _k_n_-;_-@_-">
                  <c:v>-0.3377432708046274</c:v>
                </c:pt>
                <c:pt idx="4" formatCode="_-* #,##0.0\ _k_n_-;\-* #,##0.0\ _k_n_-;_-* &quot;-&quot;??\ _k_n_-;_-@_-">
                  <c:v>-0.58259252907869952</c:v>
                </c:pt>
                <c:pt idx="5" formatCode="_-* #,##0.0\ _k_n_-;\-* #,##0.0\ _k_n_-;_-* &quot;-&quot;??\ _k_n_-;_-@_-">
                  <c:v>-1.1170641546131732</c:v>
                </c:pt>
                <c:pt idx="6" formatCode="_-* #,##0.0\ _k_n_-;\-* #,##0.0\ _k_n_-;_-* &quot;-&quot;??\ _k_n_-;_-@_-">
                  <c:v>-0.6657073693945067</c:v>
                </c:pt>
                <c:pt idx="7" formatCode="_-* #,##0.0\ _k_n_-;\-* #,##0.0\ _k_n_-;_-* &quot;-&quot;??\ _k_n_-;_-@_-">
                  <c:v>-0.56092868767653636</c:v>
                </c:pt>
                <c:pt idx="8" formatCode="_-* #,##0.0\ _k_n_-;\-* #,##0.0\ _k_n_-;_-* &quot;-&quot;??\ _k_n_-;_-@_-">
                  <c:v>-0.88412060843671225</c:v>
                </c:pt>
                <c:pt idx="9" formatCode="_-* #,##0.0\ _k_n_-;\-* #,##0.0\ _k_n_-;_-* &quot;-&quot;??\ _k_n_-;_-@_-">
                  <c:v>-0.90359918053366806</c:v>
                </c:pt>
                <c:pt idx="10" formatCode="_-* #,##0.0\ _k_n_-;\-* #,##0.0\ _k_n_-;_-* &quot;-&quot;??\ _k_n_-;_-@_-">
                  <c:v>-1.3332220880355194</c:v>
                </c:pt>
                <c:pt idx="11" formatCode="_-* #,##0.0\ _k_n_-;\-* #,##0.0\ _k_n_-;_-* &quot;-&quot;??\ _k_n_-;_-@_-">
                  <c:v>-1.8077562324782652</c:v>
                </c:pt>
                <c:pt idx="12" formatCode="_-* #,##0.0\ _k_n_-;\-* #,##0.0\ _k_n_-;_-* &quot;-&quot;??\ _k_n_-;_-@_-">
                  <c:v>-1.872499393353513</c:v>
                </c:pt>
                <c:pt idx="13" formatCode="_-* #,##0.0\ _k_n_-;\-* #,##0.0\ _k_n_-;_-* &quot;-&quot;??\ _k_n_-;_-@_-">
                  <c:v>-2.3385597874807127</c:v>
                </c:pt>
                <c:pt idx="14" formatCode="_-* #,##0.0\ _k_n_-;\-* #,##0.0\ _k_n_-;_-* &quot;-&quot;??\ _k_n_-;_-@_-">
                  <c:v>-2.4125318694700635</c:v>
                </c:pt>
                <c:pt idx="15" formatCode="_-* #,##0.0\ _k_n_-;\-* #,##0.0\ _k_n_-;_-* &quot;-&quot;??\ _k_n_-;_-@_-">
                  <c:v>-2.7857863126715063</c:v>
                </c:pt>
                <c:pt idx="16" formatCode="_-* #,##0.0\ _k_n_-;\-* #,##0.0\ _k_n_-;_-* &quot;-&quot;??\ _k_n_-;_-@_-">
                  <c:v>-3.0223214033437125</c:v>
                </c:pt>
                <c:pt idx="17" formatCode="_-* #,##0.0\ _k_n_-;\-* #,##0.0\ _k_n_-;_-* &quot;-&quot;??\ _k_n_-;_-@_-">
                  <c:v>-2.6006425313105019</c:v>
                </c:pt>
                <c:pt idx="18" formatCode="_-* #,##0.0\ _k_n_-;\-* #,##0.0\ _k_n_-;_-* &quot;-&quot;??\ _k_n_-;_-@_-">
                  <c:v>-2.2597435264446828</c:v>
                </c:pt>
                <c:pt idx="19" formatCode="_-* #,##0.0\ _k_n_-;\-* #,##0.0\ _k_n_-;_-* &quot;-&quot;??\ _k_n_-;_-@_-">
                  <c:v>-2.0052392405654542</c:v>
                </c:pt>
                <c:pt idx="20" formatCode="_-* #,##0.0\ _k_n_-;\-* #,##0.0\ _k_n_-;_-* &quot;-&quot;??\ _k_n_-;_-@_-">
                  <c:v>-2.1573231349883173</c:v>
                </c:pt>
                <c:pt idx="21" formatCode="_-* #,##0.0\ _k_n_-;\-* #,##0.0\ _k_n_-;_-* &quot;-&quot;??\ _k_n_-;_-@_-">
                  <c:v>-2.4767454624114431</c:v>
                </c:pt>
                <c:pt idx="22" formatCode="_-* #,##0.0\ _k_n_-;\-* #,##0.0\ _k_n_-;_-* &quot;-&quot;??\ _k_n_-;_-@_-">
                  <c:v>-2.3805422209392288</c:v>
                </c:pt>
                <c:pt idx="23" formatCode="_-* #,##0.0\ _k_n_-;\-* #,##0.0\ _k_n_-;_-* &quot;-&quot;??\ _k_n_-;_-@_-">
                  <c:v>-2.6422774076092574</c:v>
                </c:pt>
                <c:pt idx="24" formatCode="_-* #,##0.0\ _k_n_-;\-* #,##0.0\ _k_n_-;_-* &quot;-&quot;??\ _k_n_-;_-@_-">
                  <c:v>-3.1198621359245817</c:v>
                </c:pt>
                <c:pt idx="25" formatCode="_-* #,##0.0\ _k_n_-;\-* #,##0.0\ _k_n_-;_-* &quot;-&quot;??\ _k_n_-;_-@_-">
                  <c:v>-3.2687589911713504</c:v>
                </c:pt>
                <c:pt idx="26" formatCode="_-* #,##0.0\ _k_n_-;\-* #,##0.0\ _k_n_-;_-* &quot;-&quot;??\ _k_n_-;_-@_-">
                  <c:v>-3.146920535527487</c:v>
                </c:pt>
                <c:pt idx="27" formatCode="_-* #,##0.0\ _k_n_-;\-* #,##0.0\ _k_n_-;_-* &quot;-&quot;??\ _k_n_-;_-@_-">
                  <c:v>-3.1316488574129355</c:v>
                </c:pt>
                <c:pt idx="28" formatCode="_-* #,##0.0\ _k_n_-;\-* #,##0.0\ _k_n_-;_-* &quot;-&quot;??\ _k_n_-;_-@_-">
                  <c:v>-3.2242631909668473</c:v>
                </c:pt>
                <c:pt idx="29" formatCode="_-* #,##0.0\ _k_n_-;\-* #,##0.0\ _k_n_-;_-* &quot;-&quot;??\ _k_n_-;_-@_-">
                  <c:v>-3.2749520068921947</c:v>
                </c:pt>
                <c:pt idx="30" formatCode="_-* #,##0.0\ _k_n_-;\-* #,##0.0\ _k_n_-;_-* &quot;-&quot;??\ _k_n_-;_-@_-">
                  <c:v>-3.0414669217701378</c:v>
                </c:pt>
                <c:pt idx="31" formatCode="_-* #,##0.0\ _k_n_-;\-* #,##0.0\ _k_n_-;_-* &quot;-&quot;??\ _k_n_-;_-@_-">
                  <c:v>-3.4358957236502428</c:v>
                </c:pt>
                <c:pt idx="32" formatCode="_-* #,##0.0\ _k_n_-;\-* #,##0.0\ _k_n_-;_-* &quot;-&quot;??\ _k_n_-;_-@_-">
                  <c:v>-3.9334096161409464</c:v>
                </c:pt>
                <c:pt idx="33" formatCode="_-* #,##0.0\ _k_n_-;\-* #,##0.0\ _k_n_-;_-* &quot;-&quot;??\ _k_n_-;_-@_-">
                  <c:v>-4.623398074649125</c:v>
                </c:pt>
                <c:pt idx="34" formatCode="_-* #,##0.0\ _k_n_-;\-* #,##0.0\ _k_n_-;_-* &quot;-&quot;??\ _k_n_-;_-@_-">
                  <c:v>-5.0238718512875407</c:v>
                </c:pt>
                <c:pt idx="35" formatCode="_-* #,##0.0\ _k_n_-;\-* #,##0.0\ _k_n_-;_-* &quot;-&quot;??\ _k_n_-;_-@_-">
                  <c:v>-5.047520526699854</c:v>
                </c:pt>
                <c:pt idx="36" formatCode="_-* #,##0.0\ _k_n_-;\-* #,##0.0\ _k_n_-;_-* &quot;-&quot;??\ _k_n_-;_-@_-">
                  <c:v>-4.4050955539078052</c:v>
                </c:pt>
                <c:pt idx="37" formatCode="_-* #,##0.0\ _k_n_-;\-* #,##0.0\ _k_n_-;_-* &quot;-&quot;??\ _k_n_-;_-@_-">
                  <c:v>-3.4141494328604822</c:v>
                </c:pt>
                <c:pt idx="38" formatCode="_-* #,##0.0\ _k_n_-;\-* #,##0.0\ _k_n_-;_-* &quot;-&quot;??\ _k_n_-;_-@_-">
                  <c:v>-3.2831322868029429</c:v>
                </c:pt>
                <c:pt idx="39" formatCode="_-* #,##0.0\ _k_n_-;\-* #,##0.0\ _k_n_-;_-* &quot;-&quot;??\ _k_n_-;_-@_-">
                  <c:v>-2.9588230560751678</c:v>
                </c:pt>
                <c:pt idx="40" formatCode="_-* #,##0.0\ _k_n_-;\-* #,##0.0\ _k_n_-;_-* &quot;-&quot;??\ _k_n_-;_-@_-">
                  <c:v>-2.5214538959323938</c:v>
                </c:pt>
                <c:pt idx="41" formatCode="_-* #,##0.0\ _k_n_-;\-* #,##0.0\ _k_n_-;_-* &quot;-&quot;??\ _k_n_-;_-@_-">
                  <c:v>-1.6728034977328006</c:v>
                </c:pt>
                <c:pt idx="42" formatCode="_-* #,##0.0\ _k_n_-;\-* #,##0.0\ _k_n_-;_-* &quot;-&quot;??\ _k_n_-;_-@_-">
                  <c:v>-1.432624522207544</c:v>
                </c:pt>
                <c:pt idx="43" formatCode="_-* #,##0.0\ _k_n_-;\-* #,##0.0\ _k_n_-;_-* &quot;-&quot;??\ _k_n_-;_-@_-">
                  <c:v>-0.97351535056872718</c:v>
                </c:pt>
                <c:pt idx="44" formatCode="_-* #,##0.0\ _k_n_-;\-* #,##0.0\ _k_n_-;_-* &quot;-&quot;??\ _k_n_-;_-@_-">
                  <c:v>-1.185355389734486</c:v>
                </c:pt>
                <c:pt idx="45" formatCode="_-* #,##0.0\ _k_n_-;\-* #,##0.0\ _k_n_-;_-* &quot;-&quot;??\ _k_n_-;_-@_-">
                  <c:v>-1.4258620778895961</c:v>
                </c:pt>
                <c:pt idx="46" formatCode="_-* #,##0.0\ _k_n_-;\-* #,##0.0\ _k_n_-;_-* &quot;-&quot;??\ _k_n_-;_-@_-">
                  <c:v>-0.93730078049493615</c:v>
                </c:pt>
                <c:pt idx="47" formatCode="_-* #,##0.0\ _k_n_-;\-* #,##0.0\ _k_n_-;_-* &quot;-&quot;??\ _k_n_-;_-@_-">
                  <c:v>-0.79946727392246297</c:v>
                </c:pt>
                <c:pt idx="48" formatCode="_-* #,##0.0\ _k_n_-;\-* #,##0.0\ _k_n_-;_-* &quot;-&quot;??\ _k_n_-;_-@_-">
                  <c:v>-0.87414834791025353</c:v>
                </c:pt>
                <c:pt idx="49" formatCode="_-* #,##0.0\ _k_n_-;\-* #,##0.0\ _k_n_-;_-* &quot;-&quot;??\ _k_n_-;_-@_-">
                  <c:v>-0.98522746399552941</c:v>
                </c:pt>
                <c:pt idx="50" formatCode="_-* #,##0.0\ _k_n_-;\-* #,##0.0\ _k_n_-;_-* &quot;-&quot;??\ _k_n_-;_-@_-">
                  <c:v>-0.97907349597071602</c:v>
                </c:pt>
                <c:pt idx="51" formatCode="_-* #,##0.0\ _k_n_-;\-* #,##0.0\ _k_n_-;_-* &quot;-&quot;??\ _k_n_-;_-@_-">
                  <c:v>-0.78890830419244407</c:v>
                </c:pt>
                <c:pt idx="52" formatCode="_-* #,##0.0\ _k_n_-;\-* #,##0.0\ _k_n_-;_-* &quot;-&quot;??\ _k_n_-;_-@_-">
                  <c:v>-0.50649217793039225</c:v>
                </c:pt>
                <c:pt idx="53" formatCode="_-* #,##0.0\ _k_n_-;\-* #,##0.0\ _k_n_-;_-* &quot;-&quot;??\ _k_n_-;_-@_-">
                  <c:v>-0.49487145528783638</c:v>
                </c:pt>
                <c:pt idx="54" formatCode="_-* #,##0.0\ _k_n_-;\-* #,##0.0\ _k_n_-;_-* &quot;-&quot;??\ _k_n_-;_-@_-">
                  <c:v>-0.36414631032399941</c:v>
                </c:pt>
                <c:pt idx="55" formatCode="_-* #,##0.0\ _k_n_-;\-* #,##0.0\ _k_n_-;_-* &quot;-&quot;??\ _k_n_-;_-@_-">
                  <c:v>-0.46099721355880774</c:v>
                </c:pt>
                <c:pt idx="56" formatCode="_-* #,##0.0\ _k_n_-;\-* #,##0.0\ _k_n_-;_-* &quot;-&quot;??\ _k_n_-;_-@_-">
                  <c:v>-0.52066931316339649</c:v>
                </c:pt>
                <c:pt idx="57" formatCode="_-* #,##0.0\ _k_n_-;\-* #,##0.0\ _k_n_-;_-* &quot;-&quot;??\ _k_n_-;_-@_-">
                  <c:v>-0.52332888114609799</c:v>
                </c:pt>
                <c:pt idx="58" formatCode="_-* #,##0.0\ _k_n_-;\-* #,##0.0\ _k_n_-;_-* &quot;-&quot;??\ _k_n_-;_-@_-">
                  <c:v>-0.50278835364497898</c:v>
                </c:pt>
                <c:pt idx="59" formatCode="_-* #,##0.0\ _k_n_-;\-* #,##0.0\ _k_n_-;_-* &quot;-&quot;??\ _k_n_-;_-@_-">
                  <c:v>0.11113160990711367</c:v>
                </c:pt>
                <c:pt idx="60" formatCode="_-* #,##0.0\ _k_n_-;\-* #,##0.0\ _k_n_-;_-* &quot;-&quot;??\ _k_n_-;_-@_-">
                  <c:v>0.25599223032435292</c:v>
                </c:pt>
                <c:pt idx="61" formatCode="_-* #,##0.0\ _k_n_-;\-* #,##0.0\ _k_n_-;_-* &quot;-&quot;??\ _k_n_-;_-@_-">
                  <c:v>0.49104863420817035</c:v>
                </c:pt>
                <c:pt idx="62" formatCode="_-* #,##0.0\ _k_n_-;\-* #,##0.0\ _k_n_-;_-* &quot;-&quot;??\ _k_n_-;_-@_-">
                  <c:v>1.7166060446929723</c:v>
                </c:pt>
                <c:pt idx="63" formatCode="_-* #,##0.0\ _k_n_-;\-* #,##0.0\ _k_n_-;_-* &quot;-&quot;??\ _k_n_-;_-@_-">
                  <c:v>1.4523680657510558</c:v>
                </c:pt>
                <c:pt idx="64" formatCode="_-* #,##0.0\ _k_n_-;\-* #,##0.0\ _k_n_-;_-* &quot;-&quot;??\ _k_n_-;_-@_-">
                  <c:v>1.1802582853284156</c:v>
                </c:pt>
                <c:pt idx="65" formatCode="_-* #,##0.0\ _k_n_-;\-* #,##0.0\ _k_n_-;_-* &quot;-&quot;??\ _k_n_-;_-@_-">
                  <c:v>1.459671235445845</c:v>
                </c:pt>
                <c:pt idx="66" formatCode="_-* #,##0.0\ _k_n_-;\-* #,##0.0\ _k_n_-;_-* &quot;-&quot;??\ _k_n_-;_-@_-">
                  <c:v>1.0942800343095487</c:v>
                </c:pt>
                <c:pt idx="67" formatCode="_-* #,##0.0\ _k_n_-;\-* #,##0.0\ _k_n_-;_-* &quot;-&quot;??\ _k_n_-;_-@_-">
                  <c:v>0.99371802914583807</c:v>
                </c:pt>
                <c:pt idx="68" formatCode="_-* #,##0.0\ _k_n_-;\-* #,##0.0\ _k_n_-;_-* &quot;-&quot;??\ _k_n_-;_-@_-">
                  <c:v>1.2549325745703901</c:v>
                </c:pt>
                <c:pt idx="69" formatCode="_-* #,##0.0\ _k_n_-;\-* #,##0.0\ _k_n_-;_-* &quot;-&quot;??\ _k_n_-;_-@_-">
                  <c:v>1.2082506786850418</c:v>
                </c:pt>
                <c:pt idx="70" formatCode="_-* #,##0.0\ _k_n_-;\-* #,##0.0\ _k_n_-;_-* &quot;-&quot;??\ _k_n_-;_-@_-">
                  <c:v>1.7250583622162576</c:v>
                </c:pt>
                <c:pt idx="71" formatCode="_-* #,##0.0\ _k_n_-;\-* #,##0.0\ _k_n_-;_-* &quot;-&quot;??\ _k_n_-;_-@_-">
                  <c:v>1.6785848514133641</c:v>
                </c:pt>
                <c:pt idx="72" formatCode="_-* #,##0.0\ _k_n_-;\-* #,##0.0\ _k_n_-;_-* &quot;-&quot;??\ _k_n_-;_-@_-">
                  <c:v>1.1106052901765715</c:v>
                </c:pt>
                <c:pt idx="73" formatCode="_-* #,##0.0\ _k_n_-;\-* #,##0.0\ _k_n_-;_-* &quot;-&quot;??\ _k_n_-;_-@_-">
                  <c:v>1.1811841133847447</c:v>
                </c:pt>
                <c:pt idx="74" formatCode="_-* #,##0.0\ _k_n_-;\-* #,##0.0\ _k_n_-;_-* &quot;-&quot;??\ _k_n_-;_-@_-">
                  <c:v>1.2828916792780665</c:v>
                </c:pt>
                <c:pt idx="75" formatCode="_-* #,##0.0\ _k_n_-;\-* #,##0.0\ _k_n_-;_-* &quot;-&quot;??\ _k_n_-;_-@_-">
                  <c:v>0.98208842840806487</c:v>
                </c:pt>
                <c:pt idx="76" formatCode="_-* #,##0.0\ _k_n_-;\-* #,##0.0\ _k_n_-;_-* &quot;-&quot;??\ _k_n_-;_-@_-">
                  <c:v>0.73711150286874183</c:v>
                </c:pt>
                <c:pt idx="77" formatCode="_-* #,##0.0\ _k_n_-;\-* #,##0.0\ _k_n_-;_-* &quot;-&quot;??\ _k_n_-;_-@_-">
                  <c:v>0.51604079265039038</c:v>
                </c:pt>
                <c:pt idx="78" formatCode="_-* #,##0.0\ _k_n_-;\-* #,##0.0\ _k_n_-;_-* &quot;-&quot;??\ _k_n_-;_-@_-">
                  <c:v>1.2891282122551866</c:v>
                </c:pt>
                <c:pt idx="79" formatCode="_-* #,##0.0\ _k_n_-;\-* #,##0.0\ _k_n_-;_-* &quot;-&quot;??\ _k_n_-;_-@_-">
                  <c:v>1.5707723111990946</c:v>
                </c:pt>
                <c:pt idx="80" formatCode="_-* #,##0.0\ _k_n_-;\-* #,##0.0\ _k_n_-;_-* &quot;-&quot;??\ _k_n_-;_-@_-">
                  <c:v>1.7325991059625949</c:v>
                </c:pt>
                <c:pt idx="81" formatCode="_-* #,##0.0\ _k_n_-;\-* #,##0.0\ _k_n_-;_-* &quot;-&quot;??\ _k_n_-;_-@_-">
                  <c:v>0.29993162305885745</c:v>
                </c:pt>
                <c:pt idx="82" formatCode="_-* #,##0.0\ _k_n_-;\-* #,##0.0\ _k_n_-;_-* &quot;-&quot;??\ _k_n_-;_-@_-">
                  <c:v>-3.6265617001901784</c:v>
                </c:pt>
                <c:pt idx="83" formatCode="_-* #,##0.0\ _k_n_-;\-* #,##0.0\ _k_n_-;_-* &quot;-&quot;??\ _k_n_-;_-@_-">
                  <c:v>-3.7759425956515451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1-432C-8193-BE2E6E6F7CC3}"/>
            </c:ext>
          </c:extLst>
        </c:ser>
        <c:ser>
          <c:idx val="2"/>
          <c:order val="2"/>
          <c:tx>
            <c:strRef>
              <c:f>tecaj!$D$1</c:f>
              <c:strCache>
                <c:ptCount val="1"/>
                <c:pt idx="0">
                  <c:v>bop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tecaj!$D$2:$D$85</c:f>
              <c:numCache>
                <c:formatCode>General</c:formatCode>
                <c:ptCount val="84"/>
                <c:pt idx="3" formatCode="_-* #,##0.0\ _k_n_-;\-* #,##0.0\ _k_n_-;_-* &quot;-&quot;??\ _k_n_-;_-@_-">
                  <c:v>-3.3053003761833648</c:v>
                </c:pt>
                <c:pt idx="4" formatCode="_-* #,##0.0\ _k_n_-;\-* #,##0.0\ _k_n_-;_-* &quot;-&quot;??\ _k_n_-;_-@_-">
                  <c:v>-3.7218953201676195</c:v>
                </c:pt>
                <c:pt idx="5" formatCode="_-* #,##0.0\ _k_n_-;\-* #,##0.0\ _k_n_-;_-* &quot;-&quot;??\ _k_n_-;_-@_-">
                  <c:v>-4.0408269290270376</c:v>
                </c:pt>
                <c:pt idx="6" formatCode="_-* #,##0.0\ _k_n_-;\-* #,##0.0\ _k_n_-;_-* &quot;-&quot;??\ _k_n_-;_-@_-">
                  <c:v>-2.9531449996992141</c:v>
                </c:pt>
                <c:pt idx="7" formatCode="_-* #,##0.0\ _k_n_-;\-* #,##0.0\ _k_n_-;_-* &quot;-&quot;??\ _k_n_-;_-@_-">
                  <c:v>-3.5560296329897514</c:v>
                </c:pt>
                <c:pt idx="8" formatCode="_-* #,##0.0\ _k_n_-;\-* #,##0.0\ _k_n_-;_-* &quot;-&quot;??\ _k_n_-;_-@_-">
                  <c:v>-4.4400511923356554</c:v>
                </c:pt>
                <c:pt idx="9" formatCode="_-* #,##0.0\ _k_n_-;\-* #,##0.0\ _k_n_-;_-* &quot;-&quot;??\ _k_n_-;_-@_-">
                  <c:v>-3.5231033864105461</c:v>
                </c:pt>
                <c:pt idx="10" formatCode="_-* #,##0.0\ _k_n_-;\-* #,##0.0\ _k_n_-;_-* &quot;-&quot;??\ _k_n_-;_-@_-">
                  <c:v>-4.8764064840915875</c:v>
                </c:pt>
                <c:pt idx="11" formatCode="_-* #,##0.0\ _k_n_-;\-* #,##0.0\ _k_n_-;_-* &quot;-&quot;??\ _k_n_-;_-@_-">
                  <c:v>-4.6242185553659523</c:v>
                </c:pt>
                <c:pt idx="12" formatCode="_-* #,##0.0\ _k_n_-;\-* #,##0.0\ _k_n_-;_-* &quot;-&quot;??\ _k_n_-;_-@_-">
                  <c:v>-4.8507389499403324</c:v>
                </c:pt>
                <c:pt idx="13" formatCode="_-* #,##0.0\ _k_n_-;\-* #,##0.0\ _k_n_-;_-* &quot;-&quot;??\ _k_n_-;_-@_-">
                  <c:v>-7.2510832474930451</c:v>
                </c:pt>
                <c:pt idx="14" formatCode="_-* #,##0.0\ _k_n_-;\-* #,##0.0\ _k_n_-;_-* &quot;-&quot;??\ _k_n_-;_-@_-">
                  <c:v>-7.1094844060182192</c:v>
                </c:pt>
                <c:pt idx="15" formatCode="_-* #,##0.0\ _k_n_-;\-* #,##0.0\ _k_n_-;_-* &quot;-&quot;??\ _k_n_-;_-@_-">
                  <c:v>-7.2455485069999455</c:v>
                </c:pt>
                <c:pt idx="16" formatCode="_-* #,##0.0\ _k_n_-;\-* #,##0.0\ _k_n_-;_-* &quot;-&quot;??\ _k_n_-;_-@_-">
                  <c:v>-6.6130075790736971</c:v>
                </c:pt>
                <c:pt idx="17" formatCode="_-* #,##0.0\ _k_n_-;\-* #,##0.0\ _k_n_-;_-* &quot;-&quot;??\ _k_n_-;_-@_-">
                  <c:v>-5.8368146287345404</c:v>
                </c:pt>
                <c:pt idx="18" formatCode="_-* #,##0.0\ _k_n_-;\-* #,##0.0\ _k_n_-;_-* &quot;-&quot;??\ _k_n_-;_-@_-">
                  <c:v>-5.5856139112655674</c:v>
                </c:pt>
                <c:pt idx="19" formatCode="_-* #,##0.0\ _k_n_-;\-* #,##0.0\ _k_n_-;_-* &quot;-&quot;??\ _k_n_-;_-@_-">
                  <c:v>-5.2741496585915852</c:v>
                </c:pt>
                <c:pt idx="20" formatCode="_-* #,##0.0\ _k_n_-;\-* #,##0.0\ _k_n_-;_-* &quot;-&quot;??\ _k_n_-;_-@_-">
                  <c:v>-6.1174015855270278</c:v>
                </c:pt>
                <c:pt idx="21" formatCode="_-* #,##0.0\ _k_n_-;\-* #,##0.0\ _k_n_-;_-* &quot;-&quot;??\ _k_n_-;_-@_-">
                  <c:v>-6.5300944696119325</c:v>
                </c:pt>
                <c:pt idx="22" formatCode="_-* #,##0.0\ _k_n_-;\-* #,##0.0\ _k_n_-;_-* &quot;-&quot;??\ _k_n_-;_-@_-">
                  <c:v>-6.0655275885177407</c:v>
                </c:pt>
                <c:pt idx="23" formatCode="_-* #,##0.0\ _k_n_-;\-* #,##0.0\ _k_n_-;_-* &quot;-&quot;??\ _k_n_-;_-@_-">
                  <c:v>-7.2217151410857463</c:v>
                </c:pt>
                <c:pt idx="24" formatCode="_-* #,##0.0\ _k_n_-;\-* #,##0.0\ _k_n_-;_-* &quot;-&quot;??\ _k_n_-;_-@_-">
                  <c:v>-8.5884224286230815</c:v>
                </c:pt>
                <c:pt idx="25" formatCode="_-* #,##0.0\ _k_n_-;\-* #,##0.0\ _k_n_-;_-* &quot;-&quot;??\ _k_n_-;_-@_-">
                  <c:v>-9.7361478694634709</c:v>
                </c:pt>
                <c:pt idx="26" formatCode="_-* #,##0.0\ _k_n_-;\-* #,##0.0\ _k_n_-;_-* &quot;-&quot;??\ _k_n_-;_-@_-">
                  <c:v>-9.6183015706824797</c:v>
                </c:pt>
                <c:pt idx="27" formatCode="_-* #,##0.0\ _k_n_-;\-* #,##0.0\ _k_n_-;_-* &quot;-&quot;??\ _k_n_-;_-@_-">
                  <c:v>-9.3283970899816442</c:v>
                </c:pt>
                <c:pt idx="28" formatCode="_-* #,##0.0\ _k_n_-;\-* #,##0.0\ _k_n_-;_-* &quot;-&quot;??\ _k_n_-;_-@_-">
                  <c:v>-9.9485527153220126</c:v>
                </c:pt>
                <c:pt idx="29" formatCode="_-* #,##0.0\ _k_n_-;\-* #,##0.0\ _k_n_-;_-* &quot;-&quot;??\ _k_n_-;_-@_-">
                  <c:v>-8.7689298840950407</c:v>
                </c:pt>
                <c:pt idx="30" formatCode="_-* #,##0.0\ _k_n_-;\-* #,##0.0\ _k_n_-;_-* &quot;-&quot;??\ _k_n_-;_-@_-">
                  <c:v>-8.7913392842786706</c:v>
                </c:pt>
                <c:pt idx="31" formatCode="_-* #,##0.0\ _k_n_-;\-* #,##0.0\ _k_n_-;_-* &quot;-&quot;??\ _k_n_-;_-@_-">
                  <c:v>-9.5060434475985431</c:v>
                </c:pt>
                <c:pt idx="32" formatCode="_-* #,##0.0\ _k_n_-;\-* #,##0.0\ _k_n_-;_-* &quot;-&quot;??\ _k_n_-;_-@_-">
                  <c:v>-10.72447488476443</c:v>
                </c:pt>
                <c:pt idx="33" formatCode="_-* #,##0.0\ _k_n_-;\-* #,##0.0\ _k_n_-;_-* &quot;-&quot;??\ _k_n_-;_-@_-">
                  <c:v>-11.469186543171855</c:v>
                </c:pt>
                <c:pt idx="34" formatCode="_-* #,##0.0\ _k_n_-;\-* #,##0.0\ _k_n_-;_-* &quot;-&quot;??\ _k_n_-;_-@_-">
                  <c:v>-11.811372953585725</c:v>
                </c:pt>
                <c:pt idx="35" formatCode="_-* #,##0.0\ _k_n_-;\-* #,##0.0\ _k_n_-;_-* &quot;-&quot;??\ _k_n_-;_-@_-">
                  <c:v>-11.886624525215336</c:v>
                </c:pt>
                <c:pt idx="36" formatCode="_-* #,##0.0\ _k_n_-;\-* #,##0.0\ _k_n_-;_-* &quot;-&quot;??\ _k_n_-;_-@_-">
                  <c:v>-9.3776578899886331</c:v>
                </c:pt>
                <c:pt idx="37" formatCode="_-* #,##0.0\ _k_n_-;\-* #,##0.0\ _k_n_-;_-* &quot;-&quot;??\ _k_n_-;_-@_-">
                  <c:v>-7.7791534823573656</c:v>
                </c:pt>
                <c:pt idx="38" formatCode="_-* #,##0.0\ _k_n_-;\-* #,##0.0\ _k_n_-;_-* &quot;-&quot;??\ _k_n_-;_-@_-">
                  <c:v>-7.5177285351271239</c:v>
                </c:pt>
                <c:pt idx="39" formatCode="_-* #,##0.0\ _k_n_-;\-* #,##0.0\ _k_n_-;_-* &quot;-&quot;??\ _k_n_-;_-@_-">
                  <c:v>-7.2450940119177076</c:v>
                </c:pt>
                <c:pt idx="40" formatCode="_-* #,##0.0\ _k_n_-;\-* #,##0.0\ _k_n_-;_-* &quot;-&quot;??\ _k_n_-;_-@_-">
                  <c:v>-4.8277036270945697</c:v>
                </c:pt>
                <c:pt idx="41" formatCode="_-* #,##0.0\ _k_n_-;\-* #,##0.0\ _k_n_-;_-* &quot;-&quot;??\ _k_n_-;_-@_-">
                  <c:v>-2.7913597356819495</c:v>
                </c:pt>
                <c:pt idx="42" formatCode="_-* #,##0.0\ _k_n_-;\-* #,##0.0\ _k_n_-;_-* &quot;-&quot;??\ _k_n_-;_-@_-">
                  <c:v>-2.8765322065621222</c:v>
                </c:pt>
                <c:pt idx="43" formatCode="_-* #,##0.0\ _k_n_-;\-* #,##0.0\ _k_n_-;_-* &quot;-&quot;??\ _k_n_-;_-@_-">
                  <c:v>-1.7560316685615425</c:v>
                </c:pt>
                <c:pt idx="44" formatCode="_-* #,##0.0\ _k_n_-;\-* #,##0.0\ _k_n_-;_-* &quot;-&quot;??\ _k_n_-;_-@_-">
                  <c:v>-4.5359291588020749</c:v>
                </c:pt>
                <c:pt idx="45" formatCode="_-* #,##0.0\ _k_n_-;\-* #,##0.0\ _k_n_-;_-* &quot;-&quot;??\ _k_n_-;_-@_-">
                  <c:v>-5.1162510892559938</c:v>
                </c:pt>
                <c:pt idx="46" formatCode="_-* #,##0.0\ _k_n_-;\-* #,##0.0\ _k_n_-;_-* &quot;-&quot;??\ _k_n_-;_-@_-">
                  <c:v>-2.9732020540232948</c:v>
                </c:pt>
                <c:pt idx="47" formatCode="_-* #,##0.0\ _k_n_-;\-* #,##0.0\ _k_n_-;_-* &quot;-&quot;??\ _k_n_-;_-@_-">
                  <c:v>-2.7514948538824675</c:v>
                </c:pt>
                <c:pt idx="48" formatCode="_-* #,##0.0\ _k_n_-;\-* #,##0.0\ _k_n_-;_-* &quot;-&quot;??\ _k_n_-;_-@_-">
                  <c:v>-1.9957322050635782</c:v>
                </c:pt>
                <c:pt idx="49" formatCode="_-* #,##0.0\ _k_n_-;\-* #,##0.0\ _k_n_-;_-* &quot;-&quot;??\ _k_n_-;_-@_-">
                  <c:v>-1.6424445664661109</c:v>
                </c:pt>
                <c:pt idx="50" formatCode="_-* #,##0.0\ _k_n_-;\-* #,##0.0\ _k_n_-;_-* &quot;-&quot;??\ _k_n_-;_-@_-">
                  <c:v>-0.84017443258003843</c:v>
                </c:pt>
                <c:pt idx="51" formatCode="_-* #,##0.0\ _k_n_-;\-* #,##0.0\ _k_n_-;_-* &quot;-&quot;??\ _k_n_-;_-@_-">
                  <c:v>-0.35957053670663397</c:v>
                </c:pt>
                <c:pt idx="52" formatCode="_-* #,##0.0\ _k_n_-;\-* #,##0.0\ _k_n_-;_-* &quot;-&quot;??\ _k_n_-;_-@_-">
                  <c:v>0.27970311766179523</c:v>
                </c:pt>
                <c:pt idx="53" formatCode="_-* #,##0.0\ _k_n_-;\-* #,##0.0\ _k_n_-;_-* &quot;-&quot;??\ _k_n_-;_-@_-">
                  <c:v>-1.2706505087951099</c:v>
                </c:pt>
                <c:pt idx="54" formatCode="_-* #,##0.0\ _k_n_-;\-* #,##0.0\ _k_n_-;_-* &quot;-&quot;??\ _k_n_-;_-@_-">
                  <c:v>-1.9022313488310219</c:v>
                </c:pt>
                <c:pt idx="55" formatCode="_-* #,##0.0\ _k_n_-;\-* #,##0.0\ _k_n_-;_-* &quot;-&quot;??\ _k_n_-;_-@_-">
                  <c:v>-2.9194811594616632</c:v>
                </c:pt>
                <c:pt idx="56" formatCode="_-* #,##0.0\ _k_n_-;\-* #,##0.0\ _k_n_-;_-* &quot;-&quot;??\ _k_n_-;_-@_-">
                  <c:v>-1.5661209724473337</c:v>
                </c:pt>
                <c:pt idx="57" formatCode="_-* #,##0.0\ _k_n_-;\-* #,##0.0\ _k_n_-;_-* &quot;-&quot;??\ _k_n_-;_-@_-">
                  <c:v>-2.3430844220083602E-3</c:v>
                </c:pt>
                <c:pt idx="58" formatCode="_-* #,##0.0\ _k_n_-;\-* #,##0.0\ _k_n_-;_-* &quot;-&quot;??\ _k_n_-;_-@_-">
                  <c:v>0.57823122870195376</c:v>
                </c:pt>
                <c:pt idx="59" formatCode="_-* #,##0.0\ _k_n_-;\-* #,##0.0\ _k_n_-;_-* &quot;-&quot;??\ _k_n_-;_-@_-">
                  <c:v>2.0661782276145706</c:v>
                </c:pt>
                <c:pt idx="60" formatCode="_-* #,##0.0\ _k_n_-;\-* #,##0.0\ _k_n_-;_-* &quot;-&quot;??\ _k_n_-;_-@_-">
                  <c:v>0.65667091410251277</c:v>
                </c:pt>
                <c:pt idx="61" formatCode="_-* #,##0.0\ _k_n_-;\-* #,##0.0\ _k_n_-;_-* &quot;-&quot;??\ _k_n_-;_-@_-">
                  <c:v>1.017164429699883</c:v>
                </c:pt>
                <c:pt idx="62" formatCode="_-* #,##0.0\ _k_n_-;\-* #,##0.0\ _k_n_-;_-* &quot;-&quot;??\ _k_n_-;_-@_-">
                  <c:v>2.8213712426741897</c:v>
                </c:pt>
                <c:pt idx="63" formatCode="_-* #,##0.0\ _k_n_-;\-* #,##0.0\ _k_n_-;_-* &quot;-&quot;??\ _k_n_-;_-@_-">
                  <c:v>2.8510084971764429</c:v>
                </c:pt>
                <c:pt idx="64" formatCode="_-* #,##0.0\ _k_n_-;\-* #,##0.0\ _k_n_-;_-* &quot;-&quot;??\ _k_n_-;_-@_-">
                  <c:v>3.8398119536884368</c:v>
                </c:pt>
                <c:pt idx="65" formatCode="_-* #,##0.0\ _k_n_-;\-* #,##0.0\ _k_n_-;_-* &quot;-&quot;??\ _k_n_-;_-@_-">
                  <c:v>4.7948707158781509</c:v>
                </c:pt>
                <c:pt idx="66" formatCode="_-* #,##0.0\ _k_n_-;\-* #,##0.0\ _k_n_-;_-* &quot;-&quot;??\ _k_n_-;_-@_-">
                  <c:v>3.6919861668509513</c:v>
                </c:pt>
                <c:pt idx="67" formatCode="_-* #,##0.0\ _k_n_-;\-* #,##0.0\ _k_n_-;_-* &quot;-&quot;??\ _k_n_-;_-@_-">
                  <c:v>3.2357745095680754</c:v>
                </c:pt>
                <c:pt idx="68" formatCode="_-* #,##0.0\ _k_n_-;\-* #,##0.0\ _k_n_-;_-* &quot;-&quot;??\ _k_n_-;_-@_-">
                  <c:v>1.1836348651279605</c:v>
                </c:pt>
                <c:pt idx="69" formatCode="_-* #,##0.0\ _k_n_-;\-* #,##0.0\ _k_n_-;_-* &quot;-&quot;??\ _k_n_-;_-@_-">
                  <c:v>2.1959363885400323</c:v>
                </c:pt>
                <c:pt idx="70" formatCode="_-* #,##0.0\ _k_n_-;\-* #,##0.0\ _k_n_-;_-* &quot;-&quot;??\ _k_n_-;_-@_-">
                  <c:v>2.8425803234100413</c:v>
                </c:pt>
                <c:pt idx="71" formatCode="_-* #,##0.0\ _k_n_-;\-* #,##0.0\ _k_n_-;_-* &quot;-&quot;??\ _k_n_-;_-@_-">
                  <c:v>2.1705706817363848</c:v>
                </c:pt>
                <c:pt idx="72" formatCode="_-* #,##0.0\ _k_n_-;\-* #,##0.0\ _k_n_-;_-* &quot;-&quot;??\ _k_n_-;_-@_-">
                  <c:v>2.8991963043371296</c:v>
                </c:pt>
                <c:pt idx="73" formatCode="_-* #,##0.0\ _k_n_-;\-* #,##0.0\ _k_n_-;_-* &quot;-&quot;??\ _k_n_-;_-@_-">
                  <c:v>1.3747164016159987</c:v>
                </c:pt>
                <c:pt idx="74" formatCode="_-* #,##0.0\ _k_n_-;\-* #,##0.0\ _k_n_-;_-* &quot;-&quot;??\ _k_n_-;_-@_-">
                  <c:v>2.0460941215047201</c:v>
                </c:pt>
                <c:pt idx="75" formatCode="_-* #,##0.0\ _k_n_-;\-* #,##0.0\ _k_n_-;_-* &quot;-&quot;??\ _k_n_-;_-@_-">
                  <c:v>2.0286866012917733</c:v>
                </c:pt>
                <c:pt idx="76" formatCode="_-* #,##0.0\ _k_n_-;\-* #,##0.0\ _k_n_-;_-* &quot;-&quot;??\ _k_n_-;_-@_-">
                  <c:v>1.0606029709267173</c:v>
                </c:pt>
                <c:pt idx="77" formatCode="_-* #,##0.0\ _k_n_-;\-* #,##0.0\ _k_n_-;_-* &quot;-&quot;??\ _k_n_-;_-@_-">
                  <c:v>-0.20193768361866432</c:v>
                </c:pt>
                <c:pt idx="78" formatCode="_-* #,##0.0\ _k_n_-;\-* #,##0.0\ _k_n_-;_-* &quot;-&quot;??\ _k_n_-;_-@_-">
                  <c:v>1.2586259015445671</c:v>
                </c:pt>
                <c:pt idx="79" formatCode="_-* #,##0.0\ _k_n_-;\-* #,##0.0\ _k_n_-;_-* &quot;-&quot;??\ _k_n_-;_-@_-">
                  <c:v>3.8443598131227237</c:v>
                </c:pt>
                <c:pt idx="80" formatCode="_-* #,##0.0\ _k_n_-;\-* #,##0.0\ _k_n_-;_-* &quot;-&quot;??\ _k_n_-;_-@_-">
                  <c:v>4.0061866078862227</c:v>
                </c:pt>
                <c:pt idx="81" formatCode="_-* #,##0.0\ _k_n_-;\-* #,##0.0\ _k_n_-;_-* &quot;-&quot;??\ _k_n_-;_-@_-">
                  <c:v>2.573519124982484</c:v>
                </c:pt>
                <c:pt idx="82" formatCode="_-* #,##0.0\ _k_n_-;\-* #,##0.0\ _k_n_-;_-* &quot;-&quot;??\ _k_n_-;_-@_-">
                  <c:v>-1.35297419826655</c:v>
                </c:pt>
                <c:pt idx="83" formatCode="_-* #,##0.0\ _k_n_-;\-* #,##0.0\ _k_n_-;_-* &quot;-&quot;??\ _k_n_-;_-@_-">
                  <c:v>-1.5023550937279169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1-432C-8193-BE2E6E6F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87744"/>
        <c:axId val="527381504"/>
      </c:lineChart>
      <c:lineChart>
        <c:grouping val="standard"/>
        <c:varyColors val="0"/>
        <c:ser>
          <c:idx val="3"/>
          <c:order val="3"/>
          <c:tx>
            <c:strRef>
              <c:f>tecaj!$E$1</c:f>
              <c:strCache>
                <c:ptCount val="1"/>
                <c:pt idx="0">
                  <c:v>tecaj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tecaj!$E$2:$E$85</c:f>
              <c:numCache>
                <c:formatCode>_(* #,##0.00_);_(* \(#,##0.00\);_(* "-"??_);_(@_)</c:formatCode>
                <c:ptCount val="84"/>
                <c:pt idx="1">
                  <c:v>7.69210483870968</c:v>
                </c:pt>
                <c:pt idx="2">
                  <c:v>7.5752415384615404</c:v>
                </c:pt>
                <c:pt idx="3">
                  <c:v>7.5630158730158703</c:v>
                </c:pt>
                <c:pt idx="4">
                  <c:v>7.6850937500000001</c:v>
                </c:pt>
                <c:pt idx="5">
                  <c:v>7.4129322580645196</c:v>
                </c:pt>
                <c:pt idx="6">
                  <c:v>7.40759230769231</c:v>
                </c:pt>
                <c:pt idx="7">
                  <c:v>7.4203238095238104</c:v>
                </c:pt>
                <c:pt idx="8">
                  <c:v>7.4699677419354904</c:v>
                </c:pt>
                <c:pt idx="9">
                  <c:v>7.3732634920634901</c:v>
                </c:pt>
                <c:pt idx="10">
                  <c:v>7.3652499999999996</c:v>
                </c:pt>
                <c:pt idx="11">
                  <c:v>7.4461437500000001</c:v>
                </c:pt>
                <c:pt idx="12">
                  <c:v>7.6000079365079403</c:v>
                </c:pt>
                <c:pt idx="13">
                  <c:v>7.5381693548387103</c:v>
                </c:pt>
                <c:pt idx="14">
                  <c:v>7.5080696969696996</c:v>
                </c:pt>
                <c:pt idx="15">
                  <c:v>7.6302796874999999</c:v>
                </c:pt>
                <c:pt idx="16">
                  <c:v>7.6052749999999998</c:v>
                </c:pt>
                <c:pt idx="17">
                  <c:v>7.4340317460317502</c:v>
                </c:pt>
                <c:pt idx="18">
                  <c:v>7.3949560606060603</c:v>
                </c:pt>
                <c:pt idx="19">
                  <c:v>7.55282424242424</c:v>
                </c:pt>
                <c:pt idx="20">
                  <c:v>7.5080822580645101</c:v>
                </c:pt>
                <c:pt idx="21">
                  <c:v>7.3442646153846098</c:v>
                </c:pt>
                <c:pt idx="22">
                  <c:v>7.37284393939394</c:v>
                </c:pt>
                <c:pt idx="23">
                  <c:v>7.3831015625000003</c:v>
                </c:pt>
                <c:pt idx="24">
                  <c:v>7.3426307692307704</c:v>
                </c:pt>
                <c:pt idx="25">
                  <c:v>7.2786096774193503</c:v>
                </c:pt>
                <c:pt idx="26">
                  <c:v>7.3108815384615404</c:v>
                </c:pt>
                <c:pt idx="27">
                  <c:v>7.3657238095238098</c:v>
                </c:pt>
                <c:pt idx="28">
                  <c:v>7.3656078125000004</c:v>
                </c:pt>
                <c:pt idx="29">
                  <c:v>7.3493854838709698</c:v>
                </c:pt>
                <c:pt idx="30">
                  <c:v>7.3080123076923096</c:v>
                </c:pt>
                <c:pt idx="31">
                  <c:v>7.3280609375000001</c:v>
                </c:pt>
                <c:pt idx="32">
                  <c:v>7.28522580645161</c:v>
                </c:pt>
                <c:pt idx="33">
                  <c:v>7.2555593749999998</c:v>
                </c:pt>
                <c:pt idx="34">
                  <c:v>7.1827287878787898</c:v>
                </c:pt>
                <c:pt idx="35">
                  <c:v>7.1752453125000004</c:v>
                </c:pt>
                <c:pt idx="36">
                  <c:v>7.4115761904761897</c:v>
                </c:pt>
                <c:pt idx="37">
                  <c:v>7.3527758064516098</c:v>
                </c:pt>
                <c:pt idx="38">
                  <c:v>7.3232196969696997</c:v>
                </c:pt>
                <c:pt idx="39">
                  <c:v>7.2755984615384603</c:v>
                </c:pt>
                <c:pt idx="40">
                  <c:v>7.2849380952380898</c:v>
                </c:pt>
                <c:pt idx="41">
                  <c:v>7.2477174603174603</c:v>
                </c:pt>
                <c:pt idx="42">
                  <c:v>7.2532106060606001</c:v>
                </c:pt>
                <c:pt idx="43">
                  <c:v>7.3682878787878803</c:v>
                </c:pt>
                <c:pt idx="44">
                  <c:v>7.4018390624999997</c:v>
                </c:pt>
                <c:pt idx="45">
                  <c:v>7.3931682539682502</c:v>
                </c:pt>
                <c:pt idx="46">
                  <c:v>7.4628621212121198</c:v>
                </c:pt>
                <c:pt idx="47">
                  <c:v>7.49684375</c:v>
                </c:pt>
                <c:pt idx="48">
                  <c:v>7.5568384615384598</c:v>
                </c:pt>
                <c:pt idx="49">
                  <c:v>7.5280370967741899</c:v>
                </c:pt>
                <c:pt idx="50">
                  <c:v>7.4731861538461501</c:v>
                </c:pt>
                <c:pt idx="51">
                  <c:v>7.5290296874999996</c:v>
                </c:pt>
                <c:pt idx="52">
                  <c:v>7.5837870967742003</c:v>
                </c:pt>
                <c:pt idx="53">
                  <c:v>7.5566111111111098</c:v>
                </c:pt>
                <c:pt idx="54">
                  <c:v>7.5458803030302999</c:v>
                </c:pt>
                <c:pt idx="55">
                  <c:v>7.6290312499999997</c:v>
                </c:pt>
                <c:pt idx="56">
                  <c:v>7.6497682539682499</c:v>
                </c:pt>
                <c:pt idx="57">
                  <c:v>7.5991774193548398</c:v>
                </c:pt>
                <c:pt idx="58">
                  <c:v>7.6233272727272698</c:v>
                </c:pt>
                <c:pt idx="59">
                  <c:v>7.6648734374999998</c:v>
                </c:pt>
                <c:pt idx="60">
                  <c:v>7.6810904761904801</c:v>
                </c:pt>
                <c:pt idx="61">
                  <c:v>7.5735032258064496</c:v>
                </c:pt>
                <c:pt idx="62">
                  <c:v>7.5781196969696998</c:v>
                </c:pt>
                <c:pt idx="63">
                  <c:v>7.6228584615384598</c:v>
                </c:pt>
                <c:pt idx="64">
                  <c:v>7.6170177419354799</c:v>
                </c:pt>
                <c:pt idx="65">
                  <c:v>7.5044646153846104</c:v>
                </c:pt>
                <c:pt idx="66">
                  <c:v>7.4932606060606002</c:v>
                </c:pt>
                <c:pt idx="67">
                  <c:v>7.5227374999999999</c:v>
                </c:pt>
                <c:pt idx="68">
                  <c:v>7.4668230769230801</c:v>
                </c:pt>
                <c:pt idx="69">
                  <c:v>7.42950483870968</c:v>
                </c:pt>
                <c:pt idx="70">
                  <c:v>7.4263046153846197</c:v>
                </c:pt>
                <c:pt idx="71">
                  <c:v>7.5326984126984096</c:v>
                </c:pt>
                <c:pt idx="72">
                  <c:v>7.4379968253968203</c:v>
                </c:pt>
                <c:pt idx="73">
                  <c:v>7.3976333333333404</c:v>
                </c:pt>
                <c:pt idx="74">
                  <c:v>7.4173276923076896</c:v>
                </c:pt>
                <c:pt idx="75">
                  <c:v>7.4196703125000001</c:v>
                </c:pt>
                <c:pt idx="76">
                  <c:v>7.4216222222222203</c:v>
                </c:pt>
                <c:pt idx="77">
                  <c:v>7.4183274193548403</c:v>
                </c:pt>
                <c:pt idx="78">
                  <c:v>7.3935742424242399</c:v>
                </c:pt>
                <c:pt idx="79">
                  <c:v>7.4391656250000002</c:v>
                </c:pt>
                <c:pt idx="80">
                  <c:v>7.4903659999999999</c:v>
                </c:pt>
                <c:pt idx="81">
                  <c:v>7.6643329502499631</c:v>
                </c:pt>
                <c:pt idx="82">
                  <c:v>7.6143566179710582</c:v>
                </c:pt>
                <c:pt idx="83">
                  <c:v>7.5667476743761419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1-432C-8193-BE2E6E6F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2288"/>
        <c:axId val="757651488"/>
      </c:lineChart>
      <c:dateAx>
        <c:axId val="52738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7381504"/>
        <c:crosses val="autoZero"/>
        <c:auto val="1"/>
        <c:lblOffset val="100"/>
        <c:baseTimeUnit val="months"/>
        <c:majorUnit val="6"/>
        <c:majorTimeUnit val="months"/>
      </c:dateAx>
      <c:valAx>
        <c:axId val="527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7387744"/>
        <c:crosses val="autoZero"/>
        <c:crossBetween val="between"/>
      </c:valAx>
      <c:valAx>
        <c:axId val="75765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57672288"/>
        <c:crosses val="max"/>
        <c:crossBetween val="between"/>
      </c:valAx>
      <c:dateAx>
        <c:axId val="757672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76514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bdp!$L$68</c:f>
              <c:strCache>
                <c:ptCount val="1"/>
                <c:pt idx="0">
                  <c:v>Poljoprivreda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bdp!$N$68:$AL$68</c:f>
              <c:numCache>
                <c:formatCode>0%</c:formatCode>
                <c:ptCount val="25"/>
                <c:pt idx="0">
                  <c:v>6.2129919252627407E-3</c:v>
                </c:pt>
                <c:pt idx="1">
                  <c:v>4.2948833637391683E-3</c:v>
                </c:pt>
                <c:pt idx="2">
                  <c:v>7.6909408272348677E-3</c:v>
                </c:pt>
                <c:pt idx="3">
                  <c:v>2.7751916844644827E-3</c:v>
                </c:pt>
                <c:pt idx="4">
                  <c:v>-8.0535308288750033E-4</c:v>
                </c:pt>
                <c:pt idx="5">
                  <c:v>4.4711485882430917E-3</c:v>
                </c:pt>
                <c:pt idx="6">
                  <c:v>4.3499680042266547E-3</c:v>
                </c:pt>
                <c:pt idx="7">
                  <c:v>-6.2058984231795743E-3</c:v>
                </c:pt>
                <c:pt idx="8">
                  <c:v>1.0078257719716778E-2</c:v>
                </c:pt>
                <c:pt idx="9">
                  <c:v>-3.102721798453249E-3</c:v>
                </c:pt>
                <c:pt idx="10">
                  <c:v>5.7075084530769874E-3</c:v>
                </c:pt>
                <c:pt idx="11">
                  <c:v>7.7982104868978114E-4</c:v>
                </c:pt>
                <c:pt idx="12">
                  <c:v>6.4975353535388384E-3</c:v>
                </c:pt>
                <c:pt idx="13">
                  <c:v>-1.4546835661205294E-3</c:v>
                </c:pt>
                <c:pt idx="14">
                  <c:v>-4.2908603473641458E-3</c:v>
                </c:pt>
                <c:pt idx="15">
                  <c:v>3.7440097724420157E-4</c:v>
                </c:pt>
                <c:pt idx="16">
                  <c:v>-4.302868770053668E-3</c:v>
                </c:pt>
                <c:pt idx="17">
                  <c:v>2.0240718825633272E-3</c:v>
                </c:pt>
                <c:pt idx="18">
                  <c:v>-6.1616595123765256E-3</c:v>
                </c:pt>
                <c:pt idx="19">
                  <c:v>1.1838081601392909E-3</c:v>
                </c:pt>
                <c:pt idx="20">
                  <c:v>2.4685826648495552E-3</c:v>
                </c:pt>
                <c:pt idx="21">
                  <c:v>-5.6786110438643658E-4</c:v>
                </c:pt>
                <c:pt idx="22">
                  <c:v>5.8978422199027901E-4</c:v>
                </c:pt>
                <c:pt idx="23">
                  <c:v>5.9137219164717746E-4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E67-A3AD-F2AA9C4D5702}"/>
            </c:ext>
          </c:extLst>
        </c:ser>
        <c:ser>
          <c:idx val="1"/>
          <c:order val="1"/>
          <c:tx>
            <c:strRef>
              <c:f>bdp!$L$69</c:f>
              <c:strCache>
                <c:ptCount val="1"/>
                <c:pt idx="0">
                  <c:v>Industrija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bdp!$N$69:$AL$69</c:f>
              <c:numCache>
                <c:formatCode>0%</c:formatCode>
                <c:ptCount val="25"/>
                <c:pt idx="0">
                  <c:v>1.5230957369598865E-3</c:v>
                </c:pt>
                <c:pt idx="1">
                  <c:v>3.9702779057899124E-2</c:v>
                </c:pt>
                <c:pt idx="2">
                  <c:v>1.0686621688849178E-2</c:v>
                </c:pt>
                <c:pt idx="3">
                  <c:v>9.668283593483885E-3</c:v>
                </c:pt>
                <c:pt idx="4">
                  <c:v>2.6830120557015363E-2</c:v>
                </c:pt>
                <c:pt idx="5">
                  <c:v>6.8656769669133691E-3</c:v>
                </c:pt>
                <c:pt idx="6">
                  <c:v>1.1297139397644049E-2</c:v>
                </c:pt>
                <c:pt idx="7">
                  <c:v>1.6167178401918697E-2</c:v>
                </c:pt>
                <c:pt idx="8">
                  <c:v>2.5338979690023734E-2</c:v>
                </c:pt>
                <c:pt idx="9">
                  <c:v>6.5358988591182696E-3</c:v>
                </c:pt>
                <c:pt idx="10">
                  <c:v>1.1963208591016688E-2</c:v>
                </c:pt>
                <c:pt idx="11">
                  <c:v>1.260175277350881E-2</c:v>
                </c:pt>
                <c:pt idx="12">
                  <c:v>9.8828551622709097E-3</c:v>
                </c:pt>
                <c:pt idx="13">
                  <c:v>-5.0407294832164702E-3</c:v>
                </c:pt>
                <c:pt idx="14">
                  <c:v>9.198064624080524E-4</c:v>
                </c:pt>
                <c:pt idx="15">
                  <c:v>9.1377311859529072E-3</c:v>
                </c:pt>
                <c:pt idx="16">
                  <c:v>1.4858585934149709E-3</c:v>
                </c:pt>
                <c:pt idx="17">
                  <c:v>-5.9158676943881702E-3</c:v>
                </c:pt>
                <c:pt idx="18">
                  <c:v>3.0292238241199803E-3</c:v>
                </c:pt>
                <c:pt idx="19">
                  <c:v>2.1604423059626001E-3</c:v>
                </c:pt>
                <c:pt idx="20">
                  <c:v>6.0615725872720646E-3</c:v>
                </c:pt>
                <c:pt idx="21">
                  <c:v>3.385273159124872E-3</c:v>
                </c:pt>
                <c:pt idx="22">
                  <c:v>2.837833083692844E-3</c:v>
                </c:pt>
                <c:pt idx="23">
                  <c:v>3.0044664103895465E-3</c:v>
                </c:pt>
                <c:pt idx="24">
                  <c:v>-2.161119998136804E-2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E67-A3AD-F2AA9C4D5702}"/>
            </c:ext>
          </c:extLst>
        </c:ser>
        <c:ser>
          <c:idx val="2"/>
          <c:order val="2"/>
          <c:tx>
            <c:strRef>
              <c:f>bdp!$L$70</c:f>
              <c:strCache>
                <c:ptCount val="1"/>
                <c:pt idx="0">
                  <c:v>Građevina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bdp!$N$70:$AL$70</c:f>
              <c:numCache>
                <c:formatCode>0%</c:formatCode>
                <c:ptCount val="25"/>
                <c:pt idx="0">
                  <c:v>1.7105745971096081E-2</c:v>
                </c:pt>
                <c:pt idx="1">
                  <c:v>1.6791988975820325E-2</c:v>
                </c:pt>
                <c:pt idx="2">
                  <c:v>1.2813616139631704E-3</c:v>
                </c:pt>
                <c:pt idx="3">
                  <c:v>-1.2867920720779353E-2</c:v>
                </c:pt>
                <c:pt idx="4">
                  <c:v>-2.875237120883375E-3</c:v>
                </c:pt>
                <c:pt idx="5">
                  <c:v>9.9102809258101512E-3</c:v>
                </c:pt>
                <c:pt idx="6">
                  <c:v>9.1123787480349196E-3</c:v>
                </c:pt>
                <c:pt idx="7">
                  <c:v>1.9963710795668912E-2</c:v>
                </c:pt>
                <c:pt idx="8">
                  <c:v>1.0809559318701863E-2</c:v>
                </c:pt>
                <c:pt idx="9">
                  <c:v>8.675580843271323E-3</c:v>
                </c:pt>
                <c:pt idx="10">
                  <c:v>9.8982233355122268E-3</c:v>
                </c:pt>
                <c:pt idx="11">
                  <c:v>9.2233064523088992E-3</c:v>
                </c:pt>
                <c:pt idx="12">
                  <c:v>1.0319325297079008E-2</c:v>
                </c:pt>
                <c:pt idx="13">
                  <c:v>-7.9006938123204005E-3</c:v>
                </c:pt>
                <c:pt idx="14">
                  <c:v>-1.895567315470411E-2</c:v>
                </c:pt>
                <c:pt idx="15">
                  <c:v>-3.8644458216952646E-3</c:v>
                </c:pt>
                <c:pt idx="16">
                  <c:v>-7.4925672120034785E-3</c:v>
                </c:pt>
                <c:pt idx="17">
                  <c:v>-7.6930890905995287E-4</c:v>
                </c:pt>
                <c:pt idx="18">
                  <c:v>-3.1266433898459131E-4</c:v>
                </c:pt>
                <c:pt idx="19">
                  <c:v>1.4902813312314578E-3</c:v>
                </c:pt>
                <c:pt idx="20">
                  <c:v>1.3191174892476767E-3</c:v>
                </c:pt>
                <c:pt idx="21">
                  <c:v>2.5558237182461609E-3</c:v>
                </c:pt>
                <c:pt idx="22">
                  <c:v>3.2887356164660766E-3</c:v>
                </c:pt>
                <c:pt idx="23">
                  <c:v>4.8546843346219662E-3</c:v>
                </c:pt>
                <c:pt idx="24">
                  <c:v>-9.4737925747427013E-3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A-4E67-A3AD-F2AA9C4D5702}"/>
            </c:ext>
          </c:extLst>
        </c:ser>
        <c:ser>
          <c:idx val="3"/>
          <c:order val="3"/>
          <c:tx>
            <c:strRef>
              <c:f>bdp!$L$71</c:f>
              <c:strCache>
                <c:ptCount val="1"/>
                <c:pt idx="0">
                  <c:v>Trgovina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bdp!$N$71:$AL$71</c:f>
              <c:numCache>
                <c:formatCode>0%</c:formatCode>
                <c:ptCount val="25"/>
                <c:pt idx="0">
                  <c:v>2.0613874280185681E-2</c:v>
                </c:pt>
                <c:pt idx="1">
                  <c:v>2.167590061945477E-2</c:v>
                </c:pt>
                <c:pt idx="2">
                  <c:v>5.128434271149734E-3</c:v>
                </c:pt>
                <c:pt idx="3">
                  <c:v>-1.6959126239365744E-2</c:v>
                </c:pt>
                <c:pt idx="4">
                  <c:v>6.1477667852747097E-3</c:v>
                </c:pt>
                <c:pt idx="5">
                  <c:v>2.2238448194936408E-2</c:v>
                </c:pt>
                <c:pt idx="6">
                  <c:v>1.9892507626320468E-2</c:v>
                </c:pt>
                <c:pt idx="7">
                  <c:v>2.2884617755479789E-2</c:v>
                </c:pt>
                <c:pt idx="8">
                  <c:v>-2.0535219198024612E-3</c:v>
                </c:pt>
                <c:pt idx="9">
                  <c:v>1.3099051916475519E-2</c:v>
                </c:pt>
                <c:pt idx="10">
                  <c:v>1.4884778368546616E-2</c:v>
                </c:pt>
                <c:pt idx="11">
                  <c:v>9.1106154772130112E-3</c:v>
                </c:pt>
                <c:pt idx="12">
                  <c:v>1.0583057185839852E-2</c:v>
                </c:pt>
                <c:pt idx="13">
                  <c:v>-1.8871375908494782E-2</c:v>
                </c:pt>
                <c:pt idx="14">
                  <c:v>3.5575882072504681E-3</c:v>
                </c:pt>
                <c:pt idx="15">
                  <c:v>2.5721004905165891E-3</c:v>
                </c:pt>
                <c:pt idx="16">
                  <c:v>-1.9052577572242298E-3</c:v>
                </c:pt>
                <c:pt idx="17">
                  <c:v>-2.51792682019955E-3</c:v>
                </c:pt>
                <c:pt idx="18">
                  <c:v>3.157871210107852E-4</c:v>
                </c:pt>
                <c:pt idx="19">
                  <c:v>6.7454101761725968E-3</c:v>
                </c:pt>
                <c:pt idx="20">
                  <c:v>-1.3329893678477966E-3</c:v>
                </c:pt>
                <c:pt idx="21">
                  <c:v>6.1004054379377474E-3</c:v>
                </c:pt>
                <c:pt idx="22">
                  <c:v>7.6551765581598652E-3</c:v>
                </c:pt>
                <c:pt idx="23">
                  <c:v>6.5688140186355255E-3</c:v>
                </c:pt>
                <c:pt idx="24">
                  <c:v>-2.2906948916782386E-2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A-4E67-A3AD-F2AA9C4D5702}"/>
            </c:ext>
          </c:extLst>
        </c:ser>
        <c:ser>
          <c:idx val="4"/>
          <c:order val="4"/>
          <c:tx>
            <c:strRef>
              <c:f>bdp!$L$72</c:f>
              <c:strCache>
                <c:ptCount val="1"/>
                <c:pt idx="0">
                  <c:v>Usluge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bdp!$N$72:$AL$72</c:f>
              <c:numCache>
                <c:formatCode>0%</c:formatCode>
                <c:ptCount val="25"/>
                <c:pt idx="0">
                  <c:v>1.9871997899120773E-2</c:v>
                </c:pt>
                <c:pt idx="1">
                  <c:v>2.9339828232435857E-2</c:v>
                </c:pt>
                <c:pt idx="2">
                  <c:v>1.3841256578541678E-2</c:v>
                </c:pt>
                <c:pt idx="3">
                  <c:v>1.0329026437821775E-2</c:v>
                </c:pt>
                <c:pt idx="4">
                  <c:v>2.7000656638944482E-2</c:v>
                </c:pt>
                <c:pt idx="5">
                  <c:v>2.7021842453289122E-2</c:v>
                </c:pt>
                <c:pt idx="6">
                  <c:v>3.167467627559898E-2</c:v>
                </c:pt>
                <c:pt idx="7">
                  <c:v>2.8897510310720718E-2</c:v>
                </c:pt>
                <c:pt idx="8">
                  <c:v>2.2001128538946892E-2</c:v>
                </c:pt>
                <c:pt idx="9">
                  <c:v>2.7242316581641238E-2</c:v>
                </c:pt>
                <c:pt idx="10">
                  <c:v>2.6324652761921617E-2</c:v>
                </c:pt>
                <c:pt idx="11">
                  <c:v>3.0803301354793717E-2</c:v>
                </c:pt>
                <c:pt idx="12">
                  <c:v>2.2118932921899731E-2</c:v>
                </c:pt>
                <c:pt idx="13">
                  <c:v>-1.1359909058320135E-2</c:v>
                </c:pt>
                <c:pt idx="14">
                  <c:v>1.2533585958479445E-3</c:v>
                </c:pt>
                <c:pt idx="15">
                  <c:v>2.5530552949036855E-3</c:v>
                </c:pt>
                <c:pt idx="16">
                  <c:v>-1.7141800357800951E-3</c:v>
                </c:pt>
                <c:pt idx="17">
                  <c:v>7.1828791074931234E-3</c:v>
                </c:pt>
                <c:pt idx="18">
                  <c:v>9.6073027317840007E-4</c:v>
                </c:pt>
                <c:pt idx="19">
                  <c:v>4.6479586189318613E-3</c:v>
                </c:pt>
                <c:pt idx="20">
                  <c:v>1.6587912763715261E-2</c:v>
                </c:pt>
                <c:pt idx="21">
                  <c:v>1.8766969009678079E-2</c:v>
                </c:pt>
                <c:pt idx="22">
                  <c:v>1.4235223943845797E-2</c:v>
                </c:pt>
                <c:pt idx="23">
                  <c:v>1.5118220343448265E-2</c:v>
                </c:pt>
                <c:pt idx="24">
                  <c:v>-0.10151233981969955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AA-4E67-A3AD-F2AA9C4D5702}"/>
            </c:ext>
          </c:extLst>
        </c:ser>
        <c:ser>
          <c:idx val="5"/>
          <c:order val="5"/>
          <c:tx>
            <c:strRef>
              <c:f>bdp!$L$73</c:f>
              <c:strCache>
                <c:ptCount val="1"/>
                <c:pt idx="0">
                  <c:v>Financije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bdp!$N$73:$AL$73</c:f>
              <c:numCache>
                <c:formatCode>0%</c:formatCode>
                <c:ptCount val="25"/>
                <c:pt idx="0">
                  <c:v>1.2731803650707977E-2</c:v>
                </c:pt>
                <c:pt idx="1">
                  <c:v>-3.6382313700463213E-3</c:v>
                </c:pt>
                <c:pt idx="2">
                  <c:v>3.3291075035812323E-3</c:v>
                </c:pt>
                <c:pt idx="3">
                  <c:v>1.2995742023685213E-2</c:v>
                </c:pt>
                <c:pt idx="4">
                  <c:v>-3.2673647730247554E-3</c:v>
                </c:pt>
                <c:pt idx="5">
                  <c:v>7.5818018057650181E-3</c:v>
                </c:pt>
                <c:pt idx="6">
                  <c:v>6.6383199944444601E-3</c:v>
                </c:pt>
                <c:pt idx="7">
                  <c:v>1.0848982924844939E-2</c:v>
                </c:pt>
                <c:pt idx="8">
                  <c:v>2.5175401361179892E-3</c:v>
                </c:pt>
                <c:pt idx="9">
                  <c:v>1.1851832063582137E-2</c:v>
                </c:pt>
                <c:pt idx="10">
                  <c:v>3.6059287896040627E-3</c:v>
                </c:pt>
                <c:pt idx="11">
                  <c:v>9.1760045482111204E-3</c:v>
                </c:pt>
                <c:pt idx="12">
                  <c:v>5.9245757148045173E-3</c:v>
                </c:pt>
                <c:pt idx="13">
                  <c:v>5.2123416125730902E-4</c:v>
                </c:pt>
                <c:pt idx="14">
                  <c:v>2.7544960521896423E-3</c:v>
                </c:pt>
                <c:pt idx="15">
                  <c:v>4.6445423931635553E-3</c:v>
                </c:pt>
                <c:pt idx="16">
                  <c:v>-6.2373286309177411E-3</c:v>
                </c:pt>
                <c:pt idx="17">
                  <c:v>-3.8086611224130199E-3</c:v>
                </c:pt>
                <c:pt idx="18">
                  <c:v>1.7318727214443862E-3</c:v>
                </c:pt>
                <c:pt idx="19">
                  <c:v>-6.8955930024283403E-4</c:v>
                </c:pt>
                <c:pt idx="20">
                  <c:v>1.6519984338850679E-3</c:v>
                </c:pt>
                <c:pt idx="21">
                  <c:v>2.381461803972936E-3</c:v>
                </c:pt>
                <c:pt idx="22">
                  <c:v>1.1208338686651393E-3</c:v>
                </c:pt>
                <c:pt idx="23">
                  <c:v>1.7635415823366752E-3</c:v>
                </c:pt>
                <c:pt idx="24">
                  <c:v>-3.5478786853904098E-3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AA-4E67-A3AD-F2AA9C4D5702}"/>
            </c:ext>
          </c:extLst>
        </c:ser>
        <c:ser>
          <c:idx val="6"/>
          <c:order val="6"/>
          <c:tx>
            <c:strRef>
              <c:f>bdp!$L$74</c:f>
              <c:strCache>
                <c:ptCount val="1"/>
                <c:pt idx="0">
                  <c:v>Promet nekretninama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bdp!$N$74:$AL$74</c:f>
              <c:numCache>
                <c:formatCode>0%</c:formatCode>
                <c:ptCount val="25"/>
                <c:pt idx="0">
                  <c:v>6.6712383005057569E-3</c:v>
                </c:pt>
                <c:pt idx="1">
                  <c:v>5.7099365180699451E-3</c:v>
                </c:pt>
                <c:pt idx="2">
                  <c:v>8.0837809209716102E-3</c:v>
                </c:pt>
                <c:pt idx="3">
                  <c:v>7.343071062604155E-3</c:v>
                </c:pt>
                <c:pt idx="4">
                  <c:v>4.4972134144289303E-3</c:v>
                </c:pt>
                <c:pt idx="5">
                  <c:v>4.8324651573205786E-3</c:v>
                </c:pt>
                <c:pt idx="6">
                  <c:v>6.5984386311609636E-3</c:v>
                </c:pt>
                <c:pt idx="7">
                  <c:v>7.2229114548793489E-3</c:v>
                </c:pt>
                <c:pt idx="8">
                  <c:v>6.4509607897441004E-3</c:v>
                </c:pt>
                <c:pt idx="9">
                  <c:v>6.8322608389670891E-3</c:v>
                </c:pt>
                <c:pt idx="10">
                  <c:v>7.9431614502213192E-3</c:v>
                </c:pt>
                <c:pt idx="11">
                  <c:v>1.6497125987569718E-2</c:v>
                </c:pt>
                <c:pt idx="12">
                  <c:v>2.5600373089909637E-3</c:v>
                </c:pt>
                <c:pt idx="13">
                  <c:v>3.3134564444845156E-4</c:v>
                </c:pt>
                <c:pt idx="14">
                  <c:v>-1.1458866308086809E-3</c:v>
                </c:pt>
                <c:pt idx="15">
                  <c:v>4.2743926391951943E-3</c:v>
                </c:pt>
                <c:pt idx="16">
                  <c:v>4.844858292421238E-4</c:v>
                </c:pt>
                <c:pt idx="17">
                  <c:v>-4.1212093932149415E-4</c:v>
                </c:pt>
                <c:pt idx="18">
                  <c:v>1.3823636230926816E-3</c:v>
                </c:pt>
                <c:pt idx="19">
                  <c:v>1.4239015796898029E-3</c:v>
                </c:pt>
                <c:pt idx="20">
                  <c:v>1.0972189995529535E-3</c:v>
                </c:pt>
                <c:pt idx="21">
                  <c:v>1.6545243338109375E-3</c:v>
                </c:pt>
                <c:pt idx="22">
                  <c:v>2.3012020472776428E-3</c:v>
                </c:pt>
                <c:pt idx="23">
                  <c:v>2.2373880302696543E-3</c:v>
                </c:pt>
                <c:pt idx="24">
                  <c:v>-3.7278496562192474E-2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A-4E67-A3AD-F2AA9C4D5702}"/>
            </c:ext>
          </c:extLst>
        </c:ser>
        <c:ser>
          <c:idx val="7"/>
          <c:order val="7"/>
          <c:tx>
            <c:strRef>
              <c:f>bdp!$L$75</c:f>
              <c:strCache>
                <c:ptCount val="1"/>
                <c:pt idx="0">
                  <c:v>Javne usluge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bdp!$N$75:$AL$75</c:f>
              <c:numCache>
                <c:formatCode>0%</c:formatCode>
                <c:ptCount val="25"/>
                <c:pt idx="0">
                  <c:v>2.8787707250432094E-2</c:v>
                </c:pt>
                <c:pt idx="1">
                  <c:v>2.5681626107104418E-2</c:v>
                </c:pt>
                <c:pt idx="2">
                  <c:v>3.8245932465907899E-2</c:v>
                </c:pt>
                <c:pt idx="3">
                  <c:v>1.8831184867042418E-2</c:v>
                </c:pt>
                <c:pt idx="4">
                  <c:v>9.8631013686601172E-3</c:v>
                </c:pt>
                <c:pt idx="5">
                  <c:v>-4.8888194576783284E-3</c:v>
                </c:pt>
                <c:pt idx="6">
                  <c:v>6.078686743382529E-3</c:v>
                </c:pt>
                <c:pt idx="7">
                  <c:v>1.0968366880936371E-2</c:v>
                </c:pt>
                <c:pt idx="8">
                  <c:v>1.2324336660055283E-2</c:v>
                </c:pt>
                <c:pt idx="9">
                  <c:v>5.6812766231695974E-3</c:v>
                </c:pt>
                <c:pt idx="10">
                  <c:v>8.0813029363817311E-3</c:v>
                </c:pt>
                <c:pt idx="11">
                  <c:v>1.4586710012311325E-2</c:v>
                </c:pt>
                <c:pt idx="12">
                  <c:v>9.2600562474925742E-3</c:v>
                </c:pt>
                <c:pt idx="13">
                  <c:v>7.7457224555160407E-3</c:v>
                </c:pt>
                <c:pt idx="14">
                  <c:v>2.1983082716159129E-3</c:v>
                </c:pt>
                <c:pt idx="15">
                  <c:v>-5.913903516702744E-4</c:v>
                </c:pt>
                <c:pt idx="16">
                  <c:v>-1.7935547214172748E-3</c:v>
                </c:pt>
                <c:pt idx="17">
                  <c:v>-3.5271220772459927E-3</c:v>
                </c:pt>
                <c:pt idx="18">
                  <c:v>-4.1275861336228343E-4</c:v>
                </c:pt>
                <c:pt idx="19">
                  <c:v>1.4967703315757123E-3</c:v>
                </c:pt>
                <c:pt idx="20">
                  <c:v>6.1502627349523916E-3</c:v>
                </c:pt>
                <c:pt idx="21">
                  <c:v>5.6568072152776766E-3</c:v>
                </c:pt>
                <c:pt idx="22">
                  <c:v>8.3705085628119277E-3</c:v>
                </c:pt>
                <c:pt idx="23">
                  <c:v>8.2570268977129567E-3</c:v>
                </c:pt>
                <c:pt idx="24">
                  <c:v>-3.065174592988018E-3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AA-4E67-A3AD-F2AA9C4D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35665839"/>
        <c:axId val="2135662511"/>
      </c:barChart>
      <c:catAx>
        <c:axId val="21356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5662511"/>
        <c:crosses val="autoZero"/>
        <c:auto val="1"/>
        <c:lblAlgn val="ctr"/>
        <c:lblOffset val="100"/>
        <c:tickMarkSkip val="2"/>
        <c:noMultiLvlLbl val="0"/>
      </c:catAx>
      <c:valAx>
        <c:axId val="21356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56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39297171186935"/>
          <c:y val="2.0207254298218236E-2"/>
          <c:w val="0.86773257509477986"/>
          <c:h val="0.16544808790845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73914498315542E-2"/>
          <c:y val="0.14416687833375666"/>
          <c:w val="0.90299303349236748"/>
          <c:h val="0.7810000000000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bdp!$L$68</c:f>
              <c:strCache>
                <c:ptCount val="1"/>
                <c:pt idx="0">
                  <c:v>Poljoprivreda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bdp!$N$68:$AK$68</c:f>
              <c:numCache>
                <c:formatCode>0%</c:formatCode>
                <c:ptCount val="24"/>
                <c:pt idx="0">
                  <c:v>6.2129919252627407E-3</c:v>
                </c:pt>
                <c:pt idx="1">
                  <c:v>4.2948833637391683E-3</c:v>
                </c:pt>
                <c:pt idx="2">
                  <c:v>7.6909408272348677E-3</c:v>
                </c:pt>
                <c:pt idx="3">
                  <c:v>2.7751916844644827E-3</c:v>
                </c:pt>
                <c:pt idx="4">
                  <c:v>-8.0535308288750033E-4</c:v>
                </c:pt>
                <c:pt idx="5">
                  <c:v>4.4711485882430917E-3</c:v>
                </c:pt>
                <c:pt idx="6">
                  <c:v>4.3499680042266547E-3</c:v>
                </c:pt>
                <c:pt idx="7">
                  <c:v>-6.2058984231795743E-3</c:v>
                </c:pt>
                <c:pt idx="8">
                  <c:v>1.0078257719716778E-2</c:v>
                </c:pt>
                <c:pt idx="9">
                  <c:v>-3.102721798453249E-3</c:v>
                </c:pt>
                <c:pt idx="10">
                  <c:v>5.7075084530769874E-3</c:v>
                </c:pt>
                <c:pt idx="11">
                  <c:v>7.7982104868978114E-4</c:v>
                </c:pt>
                <c:pt idx="12">
                  <c:v>6.4975353535388384E-3</c:v>
                </c:pt>
                <c:pt idx="13">
                  <c:v>-1.4546835661205294E-3</c:v>
                </c:pt>
                <c:pt idx="14">
                  <c:v>-4.2908603473641458E-3</c:v>
                </c:pt>
                <c:pt idx="15">
                  <c:v>3.7440097724420157E-4</c:v>
                </c:pt>
                <c:pt idx="16">
                  <c:v>-4.302868770053668E-3</c:v>
                </c:pt>
                <c:pt idx="17">
                  <c:v>2.0240718825633272E-3</c:v>
                </c:pt>
                <c:pt idx="18">
                  <c:v>-6.1616595123765256E-3</c:v>
                </c:pt>
                <c:pt idx="19">
                  <c:v>1.1838081601392909E-3</c:v>
                </c:pt>
                <c:pt idx="20">
                  <c:v>2.4685826648495552E-3</c:v>
                </c:pt>
                <c:pt idx="21">
                  <c:v>-5.6786110438643658E-4</c:v>
                </c:pt>
                <c:pt idx="22">
                  <c:v>5.8978422199027901E-4</c:v>
                </c:pt>
                <c:pt idx="23">
                  <c:v>5.9137219164717746E-4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8-4C7C-8F9B-8531BAD63738}"/>
            </c:ext>
          </c:extLst>
        </c:ser>
        <c:ser>
          <c:idx val="1"/>
          <c:order val="1"/>
          <c:tx>
            <c:strRef>
              <c:f>bdp!$L$69</c:f>
              <c:strCache>
                <c:ptCount val="1"/>
                <c:pt idx="0">
                  <c:v>Industrija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bdp!$N$69:$AK$69</c:f>
              <c:numCache>
                <c:formatCode>0%</c:formatCode>
                <c:ptCount val="24"/>
                <c:pt idx="0">
                  <c:v>1.5230957369598865E-3</c:v>
                </c:pt>
                <c:pt idx="1">
                  <c:v>3.9702779057899124E-2</c:v>
                </c:pt>
                <c:pt idx="2">
                  <c:v>1.0686621688849178E-2</c:v>
                </c:pt>
                <c:pt idx="3">
                  <c:v>9.668283593483885E-3</c:v>
                </c:pt>
                <c:pt idx="4">
                  <c:v>2.6830120557015363E-2</c:v>
                </c:pt>
                <c:pt idx="5">
                  <c:v>6.8656769669133691E-3</c:v>
                </c:pt>
                <c:pt idx="6">
                  <c:v>1.1297139397644049E-2</c:v>
                </c:pt>
                <c:pt idx="7">
                  <c:v>1.6167178401918697E-2</c:v>
                </c:pt>
                <c:pt idx="8">
                  <c:v>2.5338979690023734E-2</c:v>
                </c:pt>
                <c:pt idx="9">
                  <c:v>6.5358988591182696E-3</c:v>
                </c:pt>
                <c:pt idx="10">
                  <c:v>1.1963208591016688E-2</c:v>
                </c:pt>
                <c:pt idx="11">
                  <c:v>1.260175277350881E-2</c:v>
                </c:pt>
                <c:pt idx="12">
                  <c:v>9.8828551622709097E-3</c:v>
                </c:pt>
                <c:pt idx="13">
                  <c:v>-5.0407294832164702E-3</c:v>
                </c:pt>
                <c:pt idx="14">
                  <c:v>9.198064624080524E-4</c:v>
                </c:pt>
                <c:pt idx="15">
                  <c:v>9.1377311859529072E-3</c:v>
                </c:pt>
                <c:pt idx="16">
                  <c:v>1.4858585934149709E-3</c:v>
                </c:pt>
                <c:pt idx="17">
                  <c:v>-5.9158676943881702E-3</c:v>
                </c:pt>
                <c:pt idx="18">
                  <c:v>3.0292238241199803E-3</c:v>
                </c:pt>
                <c:pt idx="19">
                  <c:v>2.1604423059626001E-3</c:v>
                </c:pt>
                <c:pt idx="20">
                  <c:v>6.0615725872720646E-3</c:v>
                </c:pt>
                <c:pt idx="21">
                  <c:v>3.385273159124872E-3</c:v>
                </c:pt>
                <c:pt idx="22">
                  <c:v>2.837833083692844E-3</c:v>
                </c:pt>
                <c:pt idx="23">
                  <c:v>3.0044664103895465E-3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8-4C7C-8F9B-8531BAD63738}"/>
            </c:ext>
          </c:extLst>
        </c:ser>
        <c:ser>
          <c:idx val="2"/>
          <c:order val="2"/>
          <c:tx>
            <c:strRef>
              <c:f>bdp!$L$70</c:f>
              <c:strCache>
                <c:ptCount val="1"/>
                <c:pt idx="0">
                  <c:v>Građevina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bdp!$N$70:$AK$70</c:f>
              <c:numCache>
                <c:formatCode>0%</c:formatCode>
                <c:ptCount val="24"/>
                <c:pt idx="0">
                  <c:v>1.7105745971096081E-2</c:v>
                </c:pt>
                <c:pt idx="1">
                  <c:v>1.6791988975820325E-2</c:v>
                </c:pt>
                <c:pt idx="2">
                  <c:v>1.2813616139631704E-3</c:v>
                </c:pt>
                <c:pt idx="3">
                  <c:v>-1.2867920720779353E-2</c:v>
                </c:pt>
                <c:pt idx="4">
                  <c:v>-2.875237120883375E-3</c:v>
                </c:pt>
                <c:pt idx="5">
                  <c:v>9.9102809258101512E-3</c:v>
                </c:pt>
                <c:pt idx="6">
                  <c:v>9.1123787480349196E-3</c:v>
                </c:pt>
                <c:pt idx="7">
                  <c:v>1.9963710795668912E-2</c:v>
                </c:pt>
                <c:pt idx="8">
                  <c:v>1.0809559318701863E-2</c:v>
                </c:pt>
                <c:pt idx="9">
                  <c:v>8.675580843271323E-3</c:v>
                </c:pt>
                <c:pt idx="10">
                  <c:v>9.8982233355122268E-3</c:v>
                </c:pt>
                <c:pt idx="11">
                  <c:v>9.2233064523088992E-3</c:v>
                </c:pt>
                <c:pt idx="12">
                  <c:v>1.0319325297079008E-2</c:v>
                </c:pt>
                <c:pt idx="13">
                  <c:v>-7.9006938123204005E-3</c:v>
                </c:pt>
                <c:pt idx="14">
                  <c:v>-1.895567315470411E-2</c:v>
                </c:pt>
                <c:pt idx="15">
                  <c:v>-3.8644458216952646E-3</c:v>
                </c:pt>
                <c:pt idx="16">
                  <c:v>-7.4925672120034785E-3</c:v>
                </c:pt>
                <c:pt idx="17">
                  <c:v>-7.6930890905995287E-4</c:v>
                </c:pt>
                <c:pt idx="18">
                  <c:v>-3.1266433898459131E-4</c:v>
                </c:pt>
                <c:pt idx="19">
                  <c:v>1.4902813312314578E-3</c:v>
                </c:pt>
                <c:pt idx="20">
                  <c:v>1.3191174892476767E-3</c:v>
                </c:pt>
                <c:pt idx="21">
                  <c:v>2.5558237182461609E-3</c:v>
                </c:pt>
                <c:pt idx="22">
                  <c:v>3.2887356164660766E-3</c:v>
                </c:pt>
                <c:pt idx="23">
                  <c:v>4.8546843346219662E-3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8-4C7C-8F9B-8531BAD63738}"/>
            </c:ext>
          </c:extLst>
        </c:ser>
        <c:ser>
          <c:idx val="3"/>
          <c:order val="3"/>
          <c:tx>
            <c:strRef>
              <c:f>bdp!$L$71</c:f>
              <c:strCache>
                <c:ptCount val="1"/>
                <c:pt idx="0">
                  <c:v>Trgovina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bdp!$N$71:$AK$71</c:f>
              <c:numCache>
                <c:formatCode>0%</c:formatCode>
                <c:ptCount val="24"/>
                <c:pt idx="0">
                  <c:v>2.0613874280185681E-2</c:v>
                </c:pt>
                <c:pt idx="1">
                  <c:v>2.167590061945477E-2</c:v>
                </c:pt>
                <c:pt idx="2">
                  <c:v>5.128434271149734E-3</c:v>
                </c:pt>
                <c:pt idx="3">
                  <c:v>-1.6959126239365744E-2</c:v>
                </c:pt>
                <c:pt idx="4">
                  <c:v>6.1477667852747097E-3</c:v>
                </c:pt>
                <c:pt idx="5">
                  <c:v>2.2238448194936408E-2</c:v>
                </c:pt>
                <c:pt idx="6">
                  <c:v>1.9892507626320468E-2</c:v>
                </c:pt>
                <c:pt idx="7">
                  <c:v>2.2884617755479789E-2</c:v>
                </c:pt>
                <c:pt idx="8">
                  <c:v>-2.0535219198024612E-3</c:v>
                </c:pt>
                <c:pt idx="9">
                  <c:v>1.3099051916475519E-2</c:v>
                </c:pt>
                <c:pt idx="10">
                  <c:v>1.4884778368546616E-2</c:v>
                </c:pt>
                <c:pt idx="11">
                  <c:v>9.1106154772130112E-3</c:v>
                </c:pt>
                <c:pt idx="12">
                  <c:v>1.0583057185839852E-2</c:v>
                </c:pt>
                <c:pt idx="13">
                  <c:v>-1.8871375908494782E-2</c:v>
                </c:pt>
                <c:pt idx="14">
                  <c:v>3.5575882072504681E-3</c:v>
                </c:pt>
                <c:pt idx="15">
                  <c:v>2.5721004905165891E-3</c:v>
                </c:pt>
                <c:pt idx="16">
                  <c:v>-1.9052577572242298E-3</c:v>
                </c:pt>
                <c:pt idx="17">
                  <c:v>-2.51792682019955E-3</c:v>
                </c:pt>
                <c:pt idx="18">
                  <c:v>3.157871210107852E-4</c:v>
                </c:pt>
                <c:pt idx="19">
                  <c:v>6.7454101761725968E-3</c:v>
                </c:pt>
                <c:pt idx="20">
                  <c:v>-1.3329893678477966E-3</c:v>
                </c:pt>
                <c:pt idx="21">
                  <c:v>6.1004054379377474E-3</c:v>
                </c:pt>
                <c:pt idx="22">
                  <c:v>7.6551765581598652E-3</c:v>
                </c:pt>
                <c:pt idx="23">
                  <c:v>6.5688140186355255E-3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8-4C7C-8F9B-8531BAD63738}"/>
            </c:ext>
          </c:extLst>
        </c:ser>
        <c:ser>
          <c:idx val="4"/>
          <c:order val="4"/>
          <c:tx>
            <c:strRef>
              <c:f>bdp!$L$72</c:f>
              <c:strCache>
                <c:ptCount val="1"/>
                <c:pt idx="0">
                  <c:v>Usluge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bdp!$N$72:$AK$72</c:f>
              <c:numCache>
                <c:formatCode>0%</c:formatCode>
                <c:ptCount val="24"/>
                <c:pt idx="0">
                  <c:v>1.9871997899120773E-2</c:v>
                </c:pt>
                <c:pt idx="1">
                  <c:v>2.9339828232435857E-2</c:v>
                </c:pt>
                <c:pt idx="2">
                  <c:v>1.3841256578541678E-2</c:v>
                </c:pt>
                <c:pt idx="3">
                  <c:v>1.0329026437821775E-2</c:v>
                </c:pt>
                <c:pt idx="4">
                  <c:v>2.7000656638944482E-2</c:v>
                </c:pt>
                <c:pt idx="5">
                  <c:v>2.7021842453289122E-2</c:v>
                </c:pt>
                <c:pt idx="6">
                  <c:v>3.167467627559898E-2</c:v>
                </c:pt>
                <c:pt idx="7">
                  <c:v>2.8897510310720718E-2</c:v>
                </c:pt>
                <c:pt idx="8">
                  <c:v>2.2001128538946892E-2</c:v>
                </c:pt>
                <c:pt idx="9">
                  <c:v>2.7242316581641238E-2</c:v>
                </c:pt>
                <c:pt idx="10">
                  <c:v>2.6324652761921617E-2</c:v>
                </c:pt>
                <c:pt idx="11">
                  <c:v>3.0803301354793717E-2</c:v>
                </c:pt>
                <c:pt idx="12">
                  <c:v>2.2118932921899731E-2</c:v>
                </c:pt>
                <c:pt idx="13">
                  <c:v>-1.1359909058320135E-2</c:v>
                </c:pt>
                <c:pt idx="14">
                  <c:v>1.2533585958479445E-3</c:v>
                </c:pt>
                <c:pt idx="15">
                  <c:v>2.5530552949036855E-3</c:v>
                </c:pt>
                <c:pt idx="16">
                  <c:v>-1.7141800357800951E-3</c:v>
                </c:pt>
                <c:pt idx="17">
                  <c:v>7.1828791074931234E-3</c:v>
                </c:pt>
                <c:pt idx="18">
                  <c:v>9.6073027317840007E-4</c:v>
                </c:pt>
                <c:pt idx="19">
                  <c:v>4.6479586189318613E-3</c:v>
                </c:pt>
                <c:pt idx="20">
                  <c:v>1.6587912763715261E-2</c:v>
                </c:pt>
                <c:pt idx="21">
                  <c:v>1.8766969009678079E-2</c:v>
                </c:pt>
                <c:pt idx="22">
                  <c:v>1.4235223943845797E-2</c:v>
                </c:pt>
                <c:pt idx="23">
                  <c:v>1.5118220343448265E-2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8-4C7C-8F9B-8531BAD63738}"/>
            </c:ext>
          </c:extLst>
        </c:ser>
        <c:ser>
          <c:idx val="5"/>
          <c:order val="5"/>
          <c:tx>
            <c:strRef>
              <c:f>bdp!$L$73</c:f>
              <c:strCache>
                <c:ptCount val="1"/>
                <c:pt idx="0">
                  <c:v>Financije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bdp!$N$73:$AK$73</c:f>
              <c:numCache>
                <c:formatCode>0%</c:formatCode>
                <c:ptCount val="24"/>
                <c:pt idx="0">
                  <c:v>1.2731803650707977E-2</c:v>
                </c:pt>
                <c:pt idx="1">
                  <c:v>-3.6382313700463213E-3</c:v>
                </c:pt>
                <c:pt idx="2">
                  <c:v>3.3291075035812323E-3</c:v>
                </c:pt>
                <c:pt idx="3">
                  <c:v>1.2995742023685213E-2</c:v>
                </c:pt>
                <c:pt idx="4">
                  <c:v>-3.2673647730247554E-3</c:v>
                </c:pt>
                <c:pt idx="5">
                  <c:v>7.5818018057650181E-3</c:v>
                </c:pt>
                <c:pt idx="6">
                  <c:v>6.6383199944444601E-3</c:v>
                </c:pt>
                <c:pt idx="7">
                  <c:v>1.0848982924844939E-2</c:v>
                </c:pt>
                <c:pt idx="8">
                  <c:v>2.5175401361179892E-3</c:v>
                </c:pt>
                <c:pt idx="9">
                  <c:v>1.1851832063582137E-2</c:v>
                </c:pt>
                <c:pt idx="10">
                  <c:v>3.6059287896040627E-3</c:v>
                </c:pt>
                <c:pt idx="11">
                  <c:v>9.1760045482111204E-3</c:v>
                </c:pt>
                <c:pt idx="12">
                  <c:v>5.9245757148045173E-3</c:v>
                </c:pt>
                <c:pt idx="13">
                  <c:v>5.2123416125730902E-4</c:v>
                </c:pt>
                <c:pt idx="14">
                  <c:v>2.7544960521896423E-3</c:v>
                </c:pt>
                <c:pt idx="15">
                  <c:v>4.6445423931635553E-3</c:v>
                </c:pt>
                <c:pt idx="16">
                  <c:v>-6.2373286309177411E-3</c:v>
                </c:pt>
                <c:pt idx="17">
                  <c:v>-3.8086611224130199E-3</c:v>
                </c:pt>
                <c:pt idx="18">
                  <c:v>1.7318727214443862E-3</c:v>
                </c:pt>
                <c:pt idx="19">
                  <c:v>-6.8955930024283403E-4</c:v>
                </c:pt>
                <c:pt idx="20">
                  <c:v>1.6519984338850679E-3</c:v>
                </c:pt>
                <c:pt idx="21">
                  <c:v>2.381461803972936E-3</c:v>
                </c:pt>
                <c:pt idx="22">
                  <c:v>1.1208338686651393E-3</c:v>
                </c:pt>
                <c:pt idx="23">
                  <c:v>1.7635415823366752E-3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B8-4C7C-8F9B-8531BAD63738}"/>
            </c:ext>
          </c:extLst>
        </c:ser>
        <c:ser>
          <c:idx val="6"/>
          <c:order val="6"/>
          <c:tx>
            <c:strRef>
              <c:f>bdp!$L$74</c:f>
              <c:strCache>
                <c:ptCount val="1"/>
                <c:pt idx="0">
                  <c:v>Promet nekretninama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bdp!$N$74:$AK$74</c:f>
              <c:numCache>
                <c:formatCode>0%</c:formatCode>
                <c:ptCount val="24"/>
                <c:pt idx="0">
                  <c:v>6.6712383005057569E-3</c:v>
                </c:pt>
                <c:pt idx="1">
                  <c:v>5.7099365180699451E-3</c:v>
                </c:pt>
                <c:pt idx="2">
                  <c:v>8.0837809209716102E-3</c:v>
                </c:pt>
                <c:pt idx="3">
                  <c:v>7.343071062604155E-3</c:v>
                </c:pt>
                <c:pt idx="4">
                  <c:v>4.4972134144289303E-3</c:v>
                </c:pt>
                <c:pt idx="5">
                  <c:v>4.8324651573205786E-3</c:v>
                </c:pt>
                <c:pt idx="6">
                  <c:v>6.5984386311609636E-3</c:v>
                </c:pt>
                <c:pt idx="7">
                  <c:v>7.2229114548793489E-3</c:v>
                </c:pt>
                <c:pt idx="8">
                  <c:v>6.4509607897441004E-3</c:v>
                </c:pt>
                <c:pt idx="9">
                  <c:v>6.8322608389670891E-3</c:v>
                </c:pt>
                <c:pt idx="10">
                  <c:v>7.9431614502213192E-3</c:v>
                </c:pt>
                <c:pt idx="11">
                  <c:v>1.6497125987569718E-2</c:v>
                </c:pt>
                <c:pt idx="12">
                  <c:v>2.5600373089909637E-3</c:v>
                </c:pt>
                <c:pt idx="13">
                  <c:v>3.3134564444845156E-4</c:v>
                </c:pt>
                <c:pt idx="14">
                  <c:v>-1.1458866308086809E-3</c:v>
                </c:pt>
                <c:pt idx="15">
                  <c:v>4.2743926391951943E-3</c:v>
                </c:pt>
                <c:pt idx="16">
                  <c:v>4.844858292421238E-4</c:v>
                </c:pt>
                <c:pt idx="17">
                  <c:v>-4.1212093932149415E-4</c:v>
                </c:pt>
                <c:pt idx="18">
                  <c:v>1.3823636230926816E-3</c:v>
                </c:pt>
                <c:pt idx="19">
                  <c:v>1.4239015796898029E-3</c:v>
                </c:pt>
                <c:pt idx="20">
                  <c:v>1.0972189995529535E-3</c:v>
                </c:pt>
                <c:pt idx="21">
                  <c:v>1.6545243338109375E-3</c:v>
                </c:pt>
                <c:pt idx="22">
                  <c:v>2.3012020472776428E-3</c:v>
                </c:pt>
                <c:pt idx="23">
                  <c:v>2.2373880302696543E-3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B8-4C7C-8F9B-8531BAD63738}"/>
            </c:ext>
          </c:extLst>
        </c:ser>
        <c:ser>
          <c:idx val="7"/>
          <c:order val="7"/>
          <c:tx>
            <c:strRef>
              <c:f>bdp!$L$75</c:f>
              <c:strCache>
                <c:ptCount val="1"/>
                <c:pt idx="0">
                  <c:v>Javne usluge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bdp!$N$75:$AK$75</c:f>
              <c:numCache>
                <c:formatCode>0%</c:formatCode>
                <c:ptCount val="24"/>
                <c:pt idx="0">
                  <c:v>2.8787707250432094E-2</c:v>
                </c:pt>
                <c:pt idx="1">
                  <c:v>2.5681626107104418E-2</c:v>
                </c:pt>
                <c:pt idx="2">
                  <c:v>3.8245932465907899E-2</c:v>
                </c:pt>
                <c:pt idx="3">
                  <c:v>1.8831184867042418E-2</c:v>
                </c:pt>
                <c:pt idx="4">
                  <c:v>9.8631013686601172E-3</c:v>
                </c:pt>
                <c:pt idx="5">
                  <c:v>-4.8888194576783284E-3</c:v>
                </c:pt>
                <c:pt idx="6">
                  <c:v>6.078686743382529E-3</c:v>
                </c:pt>
                <c:pt idx="7">
                  <c:v>1.0968366880936371E-2</c:v>
                </c:pt>
                <c:pt idx="8">
                  <c:v>1.2324336660055283E-2</c:v>
                </c:pt>
                <c:pt idx="9">
                  <c:v>5.6812766231695974E-3</c:v>
                </c:pt>
                <c:pt idx="10">
                  <c:v>8.0813029363817311E-3</c:v>
                </c:pt>
                <c:pt idx="11">
                  <c:v>1.4586710012311325E-2</c:v>
                </c:pt>
                <c:pt idx="12">
                  <c:v>9.2600562474925742E-3</c:v>
                </c:pt>
                <c:pt idx="13">
                  <c:v>7.7457224555160407E-3</c:v>
                </c:pt>
                <c:pt idx="14">
                  <c:v>2.1983082716159129E-3</c:v>
                </c:pt>
                <c:pt idx="15">
                  <c:v>-5.913903516702744E-4</c:v>
                </c:pt>
                <c:pt idx="16">
                  <c:v>-1.7935547214172748E-3</c:v>
                </c:pt>
                <c:pt idx="17">
                  <c:v>-3.5271220772459927E-3</c:v>
                </c:pt>
                <c:pt idx="18">
                  <c:v>-4.1275861336228343E-4</c:v>
                </c:pt>
                <c:pt idx="19">
                  <c:v>1.4967703315757123E-3</c:v>
                </c:pt>
                <c:pt idx="20">
                  <c:v>6.1502627349523916E-3</c:v>
                </c:pt>
                <c:pt idx="21">
                  <c:v>5.6568072152776766E-3</c:v>
                </c:pt>
                <c:pt idx="22">
                  <c:v>8.3705085628119277E-3</c:v>
                </c:pt>
                <c:pt idx="23">
                  <c:v>8.2570268977129567E-3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B8-4C7C-8F9B-8531BAD6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35665839"/>
        <c:axId val="2135662511"/>
      </c:barChart>
      <c:catAx>
        <c:axId val="21356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5662511"/>
        <c:crosses val="autoZero"/>
        <c:auto val="1"/>
        <c:lblAlgn val="ctr"/>
        <c:lblOffset val="100"/>
        <c:tickMarkSkip val="2"/>
        <c:noMultiLvlLbl val="0"/>
      </c:catAx>
      <c:valAx>
        <c:axId val="21356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56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318897637795269E-2"/>
          <c:y val="2.0207254298218236E-2"/>
          <c:w val="0.94180664916885393"/>
          <c:h val="0.12840145502838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bdp!$AC$103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bdp!$AB$104:$AB$115</c:f>
              <c:strCache>
                <c:ptCount val="12"/>
                <c:pt idx="0">
                  <c:v>A</c:v>
                </c:pt>
                <c:pt idx="1">
                  <c:v>B-E</c:v>
                </c:pt>
                <c:pt idx="2">
                  <c:v>C</c:v>
                </c:pt>
                <c:pt idx="3">
                  <c:v>F</c:v>
                </c:pt>
                <c:pt idx="4">
                  <c:v>G-I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M_N</c:v>
                </c:pt>
                <c:pt idx="9">
                  <c:v>O-Q</c:v>
                </c:pt>
                <c:pt idx="10">
                  <c:v>R-U</c:v>
                </c:pt>
                <c:pt idx="11">
                  <c:v>TOTAL</c:v>
                </c:pt>
              </c:strCache>
            </c:strRef>
          </c:cat>
          <c:val>
            <c:numRef>
              <c:f>bdp!$AC$104:$AC$115</c:f>
              <c:numCache>
                <c:formatCode>0.0%</c:formatCode>
                <c:ptCount val="12"/>
                <c:pt idx="0">
                  <c:v>2.6000000000000002E-2</c:v>
                </c:pt>
                <c:pt idx="1">
                  <c:v>-5.4000000000000006E-2</c:v>
                </c:pt>
                <c:pt idx="2">
                  <c:v>-5.7000000000000002E-2</c:v>
                </c:pt>
                <c:pt idx="3">
                  <c:v>-0.106</c:v>
                </c:pt>
                <c:pt idx="4">
                  <c:v>-7.6999999999999999E-2</c:v>
                </c:pt>
                <c:pt idx="5">
                  <c:v>-0.03</c:v>
                </c:pt>
                <c:pt idx="6">
                  <c:v>-1.1000000000000001E-2</c:v>
                </c:pt>
                <c:pt idx="7">
                  <c:v>2.1000000000000001E-2</c:v>
                </c:pt>
                <c:pt idx="8">
                  <c:v>-3.6000000000000004E-2</c:v>
                </c:pt>
                <c:pt idx="9">
                  <c:v>4.0000000000000001E-3</c:v>
                </c:pt>
                <c:pt idx="10">
                  <c:v>-0.14499999999999999</c:v>
                </c:pt>
                <c:pt idx="11">
                  <c:v>-3.4000000000000002E-2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C-489D-9159-520E721EF232}"/>
            </c:ext>
          </c:extLst>
        </c:ser>
        <c:ser>
          <c:idx val="1"/>
          <c:order val="1"/>
          <c:tx>
            <c:strRef>
              <c:f>bdp!$AD$103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bdp!$AB$104:$AB$115</c:f>
              <c:strCache>
                <c:ptCount val="12"/>
                <c:pt idx="0">
                  <c:v>A</c:v>
                </c:pt>
                <c:pt idx="1">
                  <c:v>B-E</c:v>
                </c:pt>
                <c:pt idx="2">
                  <c:v>C</c:v>
                </c:pt>
                <c:pt idx="3">
                  <c:v>F</c:v>
                </c:pt>
                <c:pt idx="4">
                  <c:v>G-I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M_N</c:v>
                </c:pt>
                <c:pt idx="9">
                  <c:v>O-Q</c:v>
                </c:pt>
                <c:pt idx="10">
                  <c:v>R-U</c:v>
                </c:pt>
                <c:pt idx="11">
                  <c:v>TOTAL</c:v>
                </c:pt>
              </c:strCache>
            </c:strRef>
          </c:cat>
          <c:val>
            <c:numRef>
              <c:f>bdp!$AD$104:$AD$115</c:f>
              <c:numCache>
                <c:formatCode>0.0%</c:formatCode>
                <c:ptCount val="12"/>
                <c:pt idx="0">
                  <c:v>-0.02</c:v>
                </c:pt>
                <c:pt idx="1">
                  <c:v>-4.5999999999999999E-2</c:v>
                </c:pt>
                <c:pt idx="2">
                  <c:v>-0.05</c:v>
                </c:pt>
                <c:pt idx="3">
                  <c:v>2.8999999999999998E-2</c:v>
                </c:pt>
                <c:pt idx="4">
                  <c:v>-5.9000000000000004E-2</c:v>
                </c:pt>
                <c:pt idx="5">
                  <c:v>2.3E-2</c:v>
                </c:pt>
                <c:pt idx="6">
                  <c:v>0.05</c:v>
                </c:pt>
                <c:pt idx="7">
                  <c:v>3.7000000000000005E-2</c:v>
                </c:pt>
                <c:pt idx="8">
                  <c:v>-6.0000000000000001E-3</c:v>
                </c:pt>
                <c:pt idx="9">
                  <c:v>2.7000000000000003E-2</c:v>
                </c:pt>
                <c:pt idx="10">
                  <c:v>-6.0999999999999999E-2</c:v>
                </c:pt>
                <c:pt idx="11">
                  <c:v>-1.3000000000000001E-2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C-489D-9159-520E721EF232}"/>
            </c:ext>
          </c:extLst>
        </c:ser>
        <c:ser>
          <c:idx val="2"/>
          <c:order val="2"/>
          <c:tx>
            <c:strRef>
              <c:f>bdp!$AE$103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bdp!$AB$104:$AB$115</c:f>
              <c:strCache>
                <c:ptCount val="12"/>
                <c:pt idx="0">
                  <c:v>A</c:v>
                </c:pt>
                <c:pt idx="1">
                  <c:v>B-E</c:v>
                </c:pt>
                <c:pt idx="2">
                  <c:v>C</c:v>
                </c:pt>
                <c:pt idx="3">
                  <c:v>F</c:v>
                </c:pt>
                <c:pt idx="4">
                  <c:v>G-I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M_N</c:v>
                </c:pt>
                <c:pt idx="9">
                  <c:v>O-Q</c:v>
                </c:pt>
                <c:pt idx="10">
                  <c:v>R-U</c:v>
                </c:pt>
                <c:pt idx="11">
                  <c:v>TOTAL</c:v>
                </c:pt>
              </c:strCache>
            </c:strRef>
          </c:cat>
          <c:val>
            <c:numRef>
              <c:f>bdp!$AE$104:$AE$115</c:f>
              <c:numCache>
                <c:formatCode>0.0%</c:formatCode>
                <c:ptCount val="12"/>
                <c:pt idx="0">
                  <c:v>4.9000000000000002E-2</c:v>
                </c:pt>
                <c:pt idx="1">
                  <c:v>-1.7000000000000001E-2</c:v>
                </c:pt>
                <c:pt idx="2">
                  <c:v>-1.3000000000000001E-2</c:v>
                </c:pt>
                <c:pt idx="3">
                  <c:v>-7.9000000000000001E-2</c:v>
                </c:pt>
                <c:pt idx="4">
                  <c:v>-9.0999999999999998E-2</c:v>
                </c:pt>
                <c:pt idx="5">
                  <c:v>-3.3000000000000002E-2</c:v>
                </c:pt>
                <c:pt idx="6">
                  <c:v>-1.3999999999999999E-2</c:v>
                </c:pt>
                <c:pt idx="7">
                  <c:v>-1E-3</c:v>
                </c:pt>
                <c:pt idx="8">
                  <c:v>-4.9000000000000002E-2</c:v>
                </c:pt>
                <c:pt idx="9">
                  <c:v>4.4000000000000004E-2</c:v>
                </c:pt>
                <c:pt idx="10">
                  <c:v>-9.6000000000000002E-2</c:v>
                </c:pt>
                <c:pt idx="11">
                  <c:v>-3.1E-2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C-489D-9159-520E721EF232}"/>
            </c:ext>
          </c:extLst>
        </c:ser>
        <c:ser>
          <c:idx val="3"/>
          <c:order val="3"/>
          <c:tx>
            <c:strRef>
              <c:f>bdp!$AF$103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bdp!$AB$104:$AB$115</c:f>
              <c:strCache>
                <c:ptCount val="12"/>
                <c:pt idx="0">
                  <c:v>A</c:v>
                </c:pt>
                <c:pt idx="1">
                  <c:v>B-E</c:v>
                </c:pt>
                <c:pt idx="2">
                  <c:v>C</c:v>
                </c:pt>
                <c:pt idx="3">
                  <c:v>F</c:v>
                </c:pt>
                <c:pt idx="4">
                  <c:v>G-I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M_N</c:v>
                </c:pt>
                <c:pt idx="9">
                  <c:v>O-Q</c:v>
                </c:pt>
                <c:pt idx="10">
                  <c:v>R-U</c:v>
                </c:pt>
                <c:pt idx="11">
                  <c:v>TOTAL</c:v>
                </c:pt>
              </c:strCache>
            </c:strRef>
          </c:cat>
          <c:val>
            <c:numRef>
              <c:f>bdp!$AF$104:$AF$115</c:f>
              <c:numCache>
                <c:formatCode>0.0%</c:formatCode>
                <c:ptCount val="12"/>
                <c:pt idx="0">
                  <c:v>0</c:v>
                </c:pt>
                <c:pt idx="1">
                  <c:v>-2.8048472531374494E-2</c:v>
                </c:pt>
                <c:pt idx="2">
                  <c:v>-3.7173447725861022E-2</c:v>
                </c:pt>
                <c:pt idx="3">
                  <c:v>-4.4999999999999998E-2</c:v>
                </c:pt>
                <c:pt idx="4">
                  <c:v>-7.4686026453274906E-2</c:v>
                </c:pt>
                <c:pt idx="5">
                  <c:v>-6.2292213262671965E-3</c:v>
                </c:pt>
                <c:pt idx="6">
                  <c:v>-1.4999999999999999E-2</c:v>
                </c:pt>
                <c:pt idx="7">
                  <c:v>-0.105</c:v>
                </c:pt>
                <c:pt idx="8">
                  <c:v>-5.6382857248000233E-2</c:v>
                </c:pt>
                <c:pt idx="9">
                  <c:v>-5.0557968533361409E-3</c:v>
                </c:pt>
                <c:pt idx="10">
                  <c:v>-0.11395824531231954</c:v>
                </c:pt>
                <c:pt idx="11">
                  <c:v>-4.46730041048864E-2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C-489D-9159-520E721E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820303"/>
        <c:axId val="2115805327"/>
      </c:barChart>
      <c:catAx>
        <c:axId val="211582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5805327"/>
        <c:crosses val="autoZero"/>
        <c:auto val="1"/>
        <c:lblAlgn val="ctr"/>
        <c:lblOffset val="100"/>
        <c:noMultiLvlLbl val="0"/>
      </c:catAx>
      <c:valAx>
        <c:axId val="2115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58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nezaposlenost!$O$3</c:f>
              <c:strCache>
                <c:ptCount val="1"/>
                <c:pt idx="0">
                  <c:v>OLS '98-'19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nezaposlenost!$O$4:$O$28</c:f>
              <c:numCache>
                <c:formatCode>General</c:formatCode>
                <c:ptCount val="25"/>
                <c:pt idx="2" formatCode="_-* #,##0.00\ _k_n_-;\-* #,##0.00\ _k_n_-;_-* &quot;-&quot;??\ _k_n_-;_-@">
                  <c:v>18.14</c:v>
                </c:pt>
                <c:pt idx="3" formatCode="_-* #,##0.00\ _k_n_-;\-* #,##0.00\ _k_n_-;_-* &quot;-&quot;??\ _k_n_-;_-@">
                  <c:v>20.399999999999999</c:v>
                </c:pt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</c:v>
                </c:pt>
                <c:pt idx="24" formatCode="_-* #,##0.00\ _k_n_-;\-* #,##0.00\ _k_n_-;_-* &quot;-&quot;??\ _k_n_-;_-@">
                  <c:v>22.849129920912478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3FB-B132-3F432CFA6EDC}"/>
            </c:ext>
          </c:extLst>
        </c:ser>
        <c:ser>
          <c:idx val="1"/>
          <c:order val="1"/>
          <c:tx>
            <c:strRef>
              <c:f>nezaposlenost!$P$3</c:f>
              <c:strCache>
                <c:ptCount val="1"/>
                <c:pt idx="0">
                  <c:v>Prosjek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nezaposlenost!$P$4:$P$28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15.586702615235376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43FB-B132-3F432CFA6EDC}"/>
            </c:ext>
          </c:extLst>
        </c:ser>
        <c:ser>
          <c:idx val="2"/>
          <c:order val="2"/>
          <c:tx>
            <c:strRef>
              <c:f>nezaposlenost!$Q$3</c:f>
              <c:strCache>
                <c:ptCount val="1"/>
                <c:pt idx="0">
                  <c:v>OLS '00-'19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nezaposlenost!$Q$4:$Q$28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4-43FB-B132-3F432CFA6EDC}"/>
            </c:ext>
          </c:extLst>
        </c:ser>
        <c:ser>
          <c:idx val="3"/>
          <c:order val="3"/>
          <c:tx>
            <c:strRef>
              <c:f>nezaposlenost!$R$3</c:f>
              <c:strCache>
                <c:ptCount val="1"/>
                <c:pt idx="0">
                  <c:v>OLS '08-'19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nezaposlenost!$R$4:$R$28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20.591346122216741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4-43FB-B132-3F432CFA6EDC}"/>
            </c:ext>
          </c:extLst>
        </c:ser>
        <c:ser>
          <c:idx val="4"/>
          <c:order val="4"/>
          <c:tx>
            <c:strRef>
              <c:f>nezaposlenost!$S$3</c:f>
              <c:strCache>
                <c:ptCount val="1"/>
                <c:pt idx="0">
                  <c:v>dbdp_r - desno</c:v>
                </c:pt>
              </c:strCache>
            </c:strRef>
          </c:tx>
          <c:spPr>
            <a:ln w="28575" cmpd="sng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nezaposlenost!$S$4:$S$28</c:f>
              <c:numCache>
                <c:formatCode>_-* #,##0.00\ _k_n_-;\-* #,##0.00\ _k_n_-;_-* "-"??\ _k_n_-;_-@</c:formatCode>
                <c:ptCount val="25"/>
                <c:pt idx="0">
                  <c:v>5.8335407060261275</c:v>
                </c:pt>
                <c:pt idx="1">
                  <c:v>6.7529116027906326</c:v>
                </c:pt>
                <c:pt idx="2">
                  <c:v>2.002959820525362</c:v>
                </c:pt>
                <c:pt idx="3">
                  <c:v>-0.81778934042826279</c:v>
                </c:pt>
                <c:pt idx="4">
                  <c:v>3.2785997299455998</c:v>
                </c:pt>
                <c:pt idx="5">
                  <c:v>3.3469386057616362</c:v>
                </c:pt>
                <c:pt idx="6">
                  <c:v>5.1158304466971742</c:v>
                </c:pt>
                <c:pt idx="7">
                  <c:v>5.640321016589624</c:v>
                </c:pt>
                <c:pt idx="8">
                  <c:v>4.1603675668260962</c:v>
                </c:pt>
                <c:pt idx="9">
                  <c:v>4.3140258709746462</c:v>
                </c:pt>
                <c:pt idx="10">
                  <c:v>5.0010664356343426</c:v>
                </c:pt>
                <c:pt idx="11">
                  <c:v>5.2663673407059832</c:v>
                </c:pt>
                <c:pt idx="12">
                  <c:v>1.759521735413955</c:v>
                </c:pt>
                <c:pt idx="13">
                  <c:v>-7.3594993654901231</c:v>
                </c:pt>
                <c:pt idx="14">
                  <c:v>-1.4962533356099641</c:v>
                </c:pt>
                <c:pt idx="15">
                  <c:v>-0.30982900477832231</c:v>
                </c:pt>
                <c:pt idx="16">
                  <c:v>-2.2377241055942534</c:v>
                </c:pt>
                <c:pt idx="17">
                  <c:v>-0.54850216134040863</c:v>
                </c:pt>
                <c:pt idx="18">
                  <c:v>-0.10388062948614163</c:v>
                </c:pt>
                <c:pt idx="19">
                  <c:v>2.4371332441033076</c:v>
                </c:pt>
                <c:pt idx="20">
                  <c:v>3.4835344484677222</c:v>
                </c:pt>
                <c:pt idx="21">
                  <c:v>3.1391817148095527</c:v>
                </c:pt>
                <c:pt idx="22">
                  <c:v>2.6308045773756561</c:v>
                </c:pt>
                <c:pt idx="23">
                  <c:v>2.9359923102297785</c:v>
                </c:pt>
                <c:pt idx="24">
                  <c:v>-34.31992862248503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4-43FB-B132-3F432CFA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27744"/>
        <c:axId val="1696019504"/>
      </c:lineChart>
      <c:dateAx>
        <c:axId val="6958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696019504"/>
        <c:crosses val="autoZero"/>
        <c:auto val="1"/>
        <c:lblOffset val="100"/>
        <c:baseTimeUnit val="years"/>
      </c:dateAx>
      <c:valAx>
        <c:axId val="169601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6958277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place!$Y$2</c:f>
              <c:strCache>
                <c:ptCount val="1"/>
                <c:pt idx="0">
                  <c:v>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place!$Y$3:$Y$94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8905.5746324901011</c:v>
                </c:pt>
                <c:pt idx="89">
                  <c:v>8713.3252071950519</c:v>
                </c:pt>
                <c:pt idx="90">
                  <c:v>8146.0039252249398</c:v>
                </c:pt>
                <c:pt idx="91">
                  <c:v>7649.323731692356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67E-9CE7-80D11E7B61A0}"/>
            </c:ext>
          </c:extLst>
        </c:ser>
        <c:ser>
          <c:idx val="1"/>
          <c:order val="1"/>
          <c:tx>
            <c:strRef>
              <c:f>place!$Z$2</c:f>
              <c:strCache>
                <c:ptCount val="1"/>
                <c:pt idx="0">
                  <c:v>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place!$Z$3:$Z$94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8904.65423637405</c:v>
                </c:pt>
                <c:pt idx="89">
                  <c:v>8712.3427433670258</c:v>
                </c:pt>
                <c:pt idx="90">
                  <c:v>8229.9611562491373</c:v>
                </c:pt>
                <c:pt idx="91">
                  <c:v>7799.0119856006777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9-467E-9CE7-80D11E7B61A0}"/>
            </c:ext>
          </c:extLst>
        </c:ser>
        <c:ser>
          <c:idx val="2"/>
          <c:order val="2"/>
          <c:tx>
            <c:strRef>
              <c:f>place!$AA$2</c:f>
              <c:strCache>
                <c:ptCount val="1"/>
                <c:pt idx="0">
                  <c:v>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place!$AA$3:$AA$94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8903.8827593108126</c:v>
                </c:pt>
                <c:pt idx="89">
                  <c:v>8711.5192276215621</c:v>
                </c:pt>
                <c:pt idx="90">
                  <c:v>8330.7062525064775</c:v>
                </c:pt>
                <c:pt idx="91">
                  <c:v>8005.860586168872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9-467E-9CE7-80D11E7B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26234"/>
        <c:axId val="988603663"/>
      </c:lineChart>
      <c:dateAx>
        <c:axId val="44792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988603663"/>
        <c:crosses val="autoZero"/>
        <c:auto val="1"/>
        <c:lblOffset val="100"/>
        <c:baseTimeUnit val="months"/>
      </c:dateAx>
      <c:valAx>
        <c:axId val="98860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_-* #,##0\ _k_n_-;\-* #,##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44792623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place!$Y$91:$Y$94</c:f>
              <c:numCache>
                <c:formatCode>_-* #,##0\ _k_n_-;\-* #,##0\ _k_n_-;_-* "-"??\ _k_n_-;_-@</c:formatCode>
                <c:ptCount val="4"/>
                <c:pt idx="0">
                  <c:v>8905.5746324901011</c:v>
                </c:pt>
                <c:pt idx="1">
                  <c:v>8713.3252071950519</c:v>
                </c:pt>
                <c:pt idx="2">
                  <c:v>8146.0039252249398</c:v>
                </c:pt>
                <c:pt idx="3">
                  <c:v>7649.323731692356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2-4C14-81C3-6D82300649F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place!$Z$91:$Z$94</c:f>
              <c:numCache>
                <c:formatCode>_-* #,##0\ _k_n_-;\-* #,##0\ _k_n_-;_-* "-"??\ _k_n_-;_-@</c:formatCode>
                <c:ptCount val="4"/>
                <c:pt idx="0">
                  <c:v>8904.65423637405</c:v>
                </c:pt>
                <c:pt idx="1">
                  <c:v>8712.3427433670258</c:v>
                </c:pt>
                <c:pt idx="2">
                  <c:v>8229.9611562491373</c:v>
                </c:pt>
                <c:pt idx="3">
                  <c:v>7799.0119856006777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2-4C14-81C3-6D82300649F8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place!$AA$91:$AA$94</c:f>
              <c:numCache>
                <c:formatCode>_-* #,##0\ _k_n_-;\-* #,##0\ _k_n_-;_-* "-"??\ _k_n_-;_-@</c:formatCode>
                <c:ptCount val="4"/>
                <c:pt idx="0">
                  <c:v>8903.8827593108126</c:v>
                </c:pt>
                <c:pt idx="1">
                  <c:v>8711.5192276215621</c:v>
                </c:pt>
                <c:pt idx="2">
                  <c:v>8330.7062525064775</c:v>
                </c:pt>
                <c:pt idx="3">
                  <c:v>8005.860586168872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2-4C14-81C3-6D82300649F8}"/>
            </c:ext>
          </c:extLst>
        </c:ser>
        <c:ser>
          <c:idx val="3"/>
          <c:order val="3"/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place!$AB$91:$AB$94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2-4C14-81C3-6D82300649F8}"/>
            </c:ext>
          </c:extLst>
        </c:ser>
        <c:ser>
          <c:idx val="4"/>
          <c:order val="4"/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place!$AC$91:$AC$94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2-4C14-81C3-6D82300649F8}"/>
            </c:ext>
          </c:extLst>
        </c:ser>
        <c:ser>
          <c:idx val="5"/>
          <c:order val="5"/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place!$AD$91:$AD$94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2-4C14-81C3-6D823006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49972"/>
        <c:axId val="564074786"/>
      </c:lineChart>
      <c:dateAx>
        <c:axId val="1069849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564074786"/>
        <c:crosses val="autoZero"/>
        <c:auto val="1"/>
        <c:lblOffset val="100"/>
        <c:baseTimeUnit val="months"/>
      </c:dateAx>
      <c:valAx>
        <c:axId val="564074786"/>
        <c:scaling>
          <c:orientation val="minMax"/>
          <c:min val="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_-* #,##0\ _k_n_-;\-* #,##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698499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vanjski_sektor!$K$2</c:f>
              <c:strCache>
                <c:ptCount val="1"/>
                <c:pt idx="0">
                  <c:v>Međunarodne pričuve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vanjski_sektor!$A$3:$A$82</c:f>
              <c:numCache>
                <c:formatCode>m/d/yyyy</c:formatCode>
                <c:ptCount val="80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</c:numCache>
            </c:numRef>
          </c:cat>
          <c:val>
            <c:numRef>
              <c:f>vanjski_sektor!$K$3:$K$82</c:f>
              <c:numCache>
                <c:formatCode>#,##0.0</c:formatCode>
                <c:ptCount val="80"/>
                <c:pt idx="0">
                  <c:v>-14.463144744870696</c:v>
                </c:pt>
                <c:pt idx="1">
                  <c:v>363.80881688603733</c:v>
                </c:pt>
                <c:pt idx="2">
                  <c:v>291.65183348756676</c:v>
                </c:pt>
                <c:pt idx="3">
                  <c:v>36.276109757642217</c:v>
                </c:pt>
                <c:pt idx="4">
                  <c:v>152.76247661437964</c:v>
                </c:pt>
                <c:pt idx="5">
                  <c:v>456.39910861869379</c:v>
                </c:pt>
                <c:pt idx="6">
                  <c:v>479.37185957651332</c:v>
                </c:pt>
                <c:pt idx="7">
                  <c:v>460.44937644067926</c:v>
                </c:pt>
                <c:pt idx="8">
                  <c:v>252.23408668900157</c:v>
                </c:pt>
                <c:pt idx="9">
                  <c:v>301.92558547386761</c:v>
                </c:pt>
                <c:pt idx="10">
                  <c:v>171.64396060069762</c:v>
                </c:pt>
                <c:pt idx="11">
                  <c:v>16.062555319322897</c:v>
                </c:pt>
                <c:pt idx="12">
                  <c:v>180.9220558573673</c:v>
                </c:pt>
                <c:pt idx="13">
                  <c:v>253.85490877435984</c:v>
                </c:pt>
                <c:pt idx="14">
                  <c:v>250.0520499279103</c:v>
                </c:pt>
                <c:pt idx="15">
                  <c:v>550.64200951128601</c:v>
                </c:pt>
                <c:pt idx="16">
                  <c:v>-421.65638582364983</c:v>
                </c:pt>
                <c:pt idx="17">
                  <c:v>202.70718659998701</c:v>
                </c:pt>
                <c:pt idx="18">
                  <c:v>88.615892122134042</c:v>
                </c:pt>
                <c:pt idx="19">
                  <c:v>173.36713417672451</c:v>
                </c:pt>
                <c:pt idx="20">
                  <c:v>188.07689987574938</c:v>
                </c:pt>
                <c:pt idx="21">
                  <c:v>282.39218314092022</c:v>
                </c:pt>
                <c:pt idx="22">
                  <c:v>-67.574851451983491</c:v>
                </c:pt>
                <c:pt idx="23">
                  <c:v>418.91583618290446</c:v>
                </c:pt>
                <c:pt idx="24">
                  <c:v>672.55407077532141</c:v>
                </c:pt>
                <c:pt idx="25">
                  <c:v>697.18984428304009</c:v>
                </c:pt>
                <c:pt idx="26">
                  <c:v>-596.41351613621168</c:v>
                </c:pt>
                <c:pt idx="27">
                  <c:v>638.89993150982514</c:v>
                </c:pt>
                <c:pt idx="28">
                  <c:v>808.13699561606006</c:v>
                </c:pt>
                <c:pt idx="29">
                  <c:v>-335.85773201262026</c:v>
                </c:pt>
                <c:pt idx="30">
                  <c:v>-310.46030751967061</c:v>
                </c:pt>
                <c:pt idx="31">
                  <c:v>559.79691599979151</c:v>
                </c:pt>
                <c:pt idx="32">
                  <c:v>695.93103951711885</c:v>
                </c:pt>
                <c:pt idx="33">
                  <c:v>95.761473847593408</c:v>
                </c:pt>
                <c:pt idx="34">
                  <c:v>-383.00667445874035</c:v>
                </c:pt>
                <c:pt idx="35">
                  <c:v>-739.08800235258047</c:v>
                </c:pt>
                <c:pt idx="36">
                  <c:v>-410.67743750344664</c:v>
                </c:pt>
                <c:pt idx="37">
                  <c:v>331.31684989591037</c:v>
                </c:pt>
                <c:pt idx="38">
                  <c:v>304.60927324788605</c:v>
                </c:pt>
                <c:pt idx="39">
                  <c:v>1002.9724449033681</c:v>
                </c:pt>
                <c:pt idx="40">
                  <c:v>-528.1395051165382</c:v>
                </c:pt>
                <c:pt idx="41">
                  <c:v>73.09430872030552</c:v>
                </c:pt>
                <c:pt idx="42">
                  <c:v>1136.4131879717636</c:v>
                </c:pt>
                <c:pt idx="43">
                  <c:v>-574.57801081495995</c:v>
                </c:pt>
                <c:pt idx="44">
                  <c:v>913.97549201153981</c:v>
                </c:pt>
                <c:pt idx="45">
                  <c:v>48.328615217684025</c:v>
                </c:pt>
                <c:pt idx="46">
                  <c:v>-234.14963965682833</c:v>
                </c:pt>
                <c:pt idx="47">
                  <c:v>-265.73963718635486</c:v>
                </c:pt>
                <c:pt idx="48">
                  <c:v>222.64841631672815</c:v>
                </c:pt>
                <c:pt idx="49">
                  <c:v>108.75103219818291</c:v>
                </c:pt>
                <c:pt idx="50">
                  <c:v>-184.30970442646475</c:v>
                </c:pt>
                <c:pt idx="51">
                  <c:v>-101.27979415117382</c:v>
                </c:pt>
                <c:pt idx="52">
                  <c:v>-38.623096000000054</c:v>
                </c:pt>
                <c:pt idx="53">
                  <c:v>804.22626600010017</c:v>
                </c:pt>
                <c:pt idx="54">
                  <c:v>-185.144732</c:v>
                </c:pt>
                <c:pt idx="55">
                  <c:v>1263.629117</c:v>
                </c:pt>
                <c:pt idx="56">
                  <c:v>-801.32541600000002</c:v>
                </c:pt>
                <c:pt idx="57">
                  <c:v>208.74065200000004</c:v>
                </c:pt>
                <c:pt idx="58">
                  <c:v>-407.65781100000004</c:v>
                </c:pt>
                <c:pt idx="59">
                  <c:v>470.362415</c:v>
                </c:pt>
                <c:pt idx="60">
                  <c:v>1115.41526</c:v>
                </c:pt>
                <c:pt idx="61">
                  <c:v>-322.93179700000007</c:v>
                </c:pt>
                <c:pt idx="62">
                  <c:v>-241.97285999999997</c:v>
                </c:pt>
                <c:pt idx="63">
                  <c:v>194.83548300000027</c:v>
                </c:pt>
                <c:pt idx="64">
                  <c:v>-447.68827600000009</c:v>
                </c:pt>
                <c:pt idx="65">
                  <c:v>-388.92530299999999</c:v>
                </c:pt>
                <c:pt idx="66">
                  <c:v>141.99169699989994</c:v>
                </c:pt>
                <c:pt idx="67">
                  <c:v>429.93825700000002</c:v>
                </c:pt>
                <c:pt idx="68">
                  <c:v>2653.7549040000004</c:v>
                </c:pt>
                <c:pt idx="69">
                  <c:v>-1883.2567770000001</c:v>
                </c:pt>
                <c:pt idx="70">
                  <c:v>1009.935355</c:v>
                </c:pt>
                <c:pt idx="71">
                  <c:v>812.70644700000003</c:v>
                </c:pt>
                <c:pt idx="72">
                  <c:v>785.75924904999999</c:v>
                </c:pt>
                <c:pt idx="73">
                  <c:v>25.056777919999995</c:v>
                </c:pt>
                <c:pt idx="74">
                  <c:v>12.786647849999964</c:v>
                </c:pt>
                <c:pt idx="75">
                  <c:v>721.43776332999994</c:v>
                </c:pt>
                <c:pt idx="76">
                  <c:v>725.5415992500001</c:v>
                </c:pt>
                <c:pt idx="77">
                  <c:v>1531.6371312999997</c:v>
                </c:pt>
                <c:pt idx="78">
                  <c:v>365.79429075999991</c:v>
                </c:pt>
                <c:pt idx="79">
                  <c:v>-1633.3239852499999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C-4E26-8141-3B8462C0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707173"/>
        <c:axId val="1874582435"/>
      </c:lineChart>
      <c:dateAx>
        <c:axId val="1035707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874582435"/>
        <c:crosses val="autoZero"/>
        <c:auto val="1"/>
        <c:lblOffset val="100"/>
        <c:baseTimeUnit val="months"/>
      </c:dateAx>
      <c:valAx>
        <c:axId val="1874582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3570717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87059</xdr:colOff>
      <xdr:row>48</xdr:row>
      <xdr:rowOff>86265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736" y="172528"/>
          <a:ext cx="10898832" cy="8195095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0.51175</cdr:x>
      <cdr:y>0.07799</cdr:y>
    </cdr:from>
    <cdr:to>
      <cdr:x>0.68146</cdr:x>
      <cdr:y>0.15866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48393" y="253588"/>
          <a:ext cx="811967" cy="262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r-HR" sz="1100" b="1"/>
            <a:t>ESA 2010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49</xdr:row>
      <xdr:rowOff>15240</xdr:rowOff>
    </xdr:from>
    <xdr:to>
      <xdr:col>18</xdr:col>
      <xdr:colOff>304800</xdr:colOff>
      <xdr:row>64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6</xdr:row>
      <xdr:rowOff>114300</xdr:rowOff>
    </xdr:from>
    <xdr:to>
      <xdr:col>19</xdr:col>
      <xdr:colOff>45720</xdr:colOff>
      <xdr:row>22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</xdr:row>
      <xdr:rowOff>53340</xdr:rowOff>
    </xdr:from>
    <xdr:to>
      <xdr:col>12</xdr:col>
      <xdr:colOff>358140</xdr:colOff>
      <xdr:row>20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9525</xdr:colOff>
      <xdr:row>113</xdr:row>
      <xdr:rowOff>0</xdr:rowOff>
    </xdr:from>
    <xdr:ext cx="5524500" cy="3581400"/>
    <xdr:graphicFrame macro="">
      <xdr:nvGraphicFramePr>
        <xdr:cNvPr id="14243878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56</xdr:col>
      <xdr:colOff>0</xdr:colOff>
      <xdr:row>113</xdr:row>
      <xdr:rowOff>0</xdr:rowOff>
    </xdr:from>
    <xdr:ext cx="5486400" cy="3581400"/>
    <xdr:graphicFrame macro="">
      <xdr:nvGraphicFramePr>
        <xdr:cNvPr id="68017712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0</xdr:colOff>
      <xdr:row>76</xdr:row>
      <xdr:rowOff>175845</xdr:rowOff>
    </xdr:from>
    <xdr:to>
      <xdr:col>17</xdr:col>
      <xdr:colOff>273539</xdr:colOff>
      <xdr:row>98</xdr:row>
      <xdr:rowOff>78153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586153</xdr:colOff>
      <xdr:row>77</xdr:row>
      <xdr:rowOff>0</xdr:rowOff>
    </xdr:from>
    <xdr:to>
      <xdr:col>30</xdr:col>
      <xdr:colOff>527538</xdr:colOff>
      <xdr:row>99</xdr:row>
      <xdr:rowOff>68385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234462</xdr:colOff>
      <xdr:row>100</xdr:row>
      <xdr:rowOff>167054</xdr:rowOff>
    </xdr:from>
    <xdr:to>
      <xdr:col>39</xdr:col>
      <xdr:colOff>175847</xdr:colOff>
      <xdr:row>116</xdr:row>
      <xdr:rowOff>96715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29</xdr:row>
      <xdr:rowOff>38100</xdr:rowOff>
    </xdr:from>
    <xdr:ext cx="4619625" cy="3057525"/>
    <xdr:graphicFrame macro="">
      <xdr:nvGraphicFramePr>
        <xdr:cNvPr id="13426371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438150</xdr:colOff>
      <xdr:row>94</xdr:row>
      <xdr:rowOff>133350</xdr:rowOff>
    </xdr:from>
    <xdr:ext cx="4819650" cy="2714625"/>
    <xdr:graphicFrame macro="">
      <xdr:nvGraphicFramePr>
        <xdr:cNvPr id="87237532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30480</xdr:colOff>
      <xdr:row>96</xdr:row>
      <xdr:rowOff>80010</xdr:rowOff>
    </xdr:from>
    <xdr:ext cx="4438650" cy="2714625"/>
    <xdr:graphicFrame macro="">
      <xdr:nvGraphicFramePr>
        <xdr:cNvPr id="133696122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71</xdr:col>
      <xdr:colOff>161925</xdr:colOff>
      <xdr:row>1</xdr:row>
      <xdr:rowOff>152400</xdr:rowOff>
    </xdr:from>
    <xdr:ext cx="4572000" cy="2705100"/>
    <xdr:graphicFrame macro="">
      <xdr:nvGraphicFramePr>
        <xdr:cNvPr id="11496341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</xdr:colOff>
      <xdr:row>83</xdr:row>
      <xdr:rowOff>34290</xdr:rowOff>
    </xdr:from>
    <xdr:ext cx="4410075" cy="2714625"/>
    <xdr:graphicFrame macro="">
      <xdr:nvGraphicFramePr>
        <xdr:cNvPr id="65065875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111</xdr:row>
      <xdr:rowOff>0</xdr:rowOff>
    </xdr:from>
    <xdr:ext cx="7153275" cy="3914775"/>
    <xdr:graphicFrame macro="">
      <xdr:nvGraphicFramePr>
        <xdr:cNvPr id="131054601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18</xdr:row>
      <xdr:rowOff>0</xdr:rowOff>
    </xdr:from>
    <xdr:ext cx="4152900" cy="2714625"/>
    <xdr:graphicFrame macro="">
      <xdr:nvGraphicFramePr>
        <xdr:cNvPr id="75863206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114300</xdr:colOff>
      <xdr:row>1</xdr:row>
      <xdr:rowOff>85725</xdr:rowOff>
    </xdr:from>
    <xdr:ext cx="4362450" cy="2857500"/>
    <xdr:graphicFrame macro="">
      <xdr:nvGraphicFramePr>
        <xdr:cNvPr id="573072226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777688</xdr:colOff>
      <xdr:row>75</xdr:row>
      <xdr:rowOff>175260</xdr:rowOff>
    </xdr:from>
    <xdr:to>
      <xdr:col>7</xdr:col>
      <xdr:colOff>359485</xdr:colOff>
      <xdr:row>92</xdr:row>
      <xdr:rowOff>86062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400050</xdr:colOff>
      <xdr:row>5</xdr:row>
      <xdr:rowOff>0</xdr:rowOff>
    </xdr:from>
    <xdr:ext cx="5038725" cy="3638550"/>
    <xdr:graphicFrame macro="">
      <xdr:nvGraphicFramePr>
        <xdr:cNvPr id="74893626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36</xdr:col>
      <xdr:colOff>399737</xdr:colOff>
      <xdr:row>26</xdr:row>
      <xdr:rowOff>58709</xdr:rowOff>
    </xdr:from>
    <xdr:to>
      <xdr:col>43</xdr:col>
      <xdr:colOff>62459</xdr:colOff>
      <xdr:row>47</xdr:row>
      <xdr:rowOff>62459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62459</xdr:colOff>
      <xdr:row>35</xdr:row>
      <xdr:rowOff>121167</xdr:rowOff>
    </xdr:from>
    <xdr:to>
      <xdr:col>53</xdr:col>
      <xdr:colOff>599606</xdr:colOff>
      <xdr:row>54</xdr:row>
      <xdr:rowOff>49967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amba/skripte/macro_var/podac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mbas\Downloads\simulacija_nekretnine_no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ce"/>
      <sheetName val="krediti"/>
      <sheetName val="kstope"/>
      <sheetName val="data"/>
      <sheetName val="unemp"/>
    </sheetNames>
    <sheetDataSet>
      <sheetData sheetId="0"/>
      <sheetData sheetId="1">
        <row r="2">
          <cell r="A2">
            <v>34515</v>
          </cell>
          <cell r="B2">
            <v>22899.770844999995</v>
          </cell>
          <cell r="C2"/>
        </row>
        <row r="3">
          <cell r="A3">
            <v>34546</v>
          </cell>
          <cell r="B3">
            <v>23822.736458999996</v>
          </cell>
          <cell r="C3">
            <v>4.0304578602432741</v>
          </cell>
          <cell r="D3"/>
        </row>
        <row r="4">
          <cell r="A4">
            <v>34577</v>
          </cell>
          <cell r="B4">
            <v>24431.306126000003</v>
          </cell>
          <cell r="C4">
            <v>2.5545749878372845</v>
          </cell>
        </row>
        <row r="5">
          <cell r="A5">
            <v>34607</v>
          </cell>
          <cell r="B5">
            <v>25305.350147000001</v>
          </cell>
          <cell r="C5">
            <v>3.5775574850246414</v>
          </cell>
          <cell r="D5">
            <v>10.504818228455104</v>
          </cell>
        </row>
        <row r="6">
          <cell r="A6">
            <v>34638</v>
          </cell>
          <cell r="B6">
            <v>25201.533865000005</v>
          </cell>
          <cell r="C6">
            <v>-0.4102542798140405</v>
          </cell>
          <cell r="D6">
            <v>5.7877373087385608</v>
          </cell>
        </row>
        <row r="7">
          <cell r="A7">
            <v>34668</v>
          </cell>
          <cell r="B7">
            <v>26740.147442000001</v>
          </cell>
          <cell r="C7">
            <v>6.1052378210075204</v>
          </cell>
          <cell r="D7">
            <v>9.4503392659097685</v>
          </cell>
        </row>
        <row r="8">
          <cell r="A8">
            <v>34699</v>
          </cell>
          <cell r="B8">
            <v>27661.519115000006</v>
          </cell>
          <cell r="C8">
            <v>3.4456491872323625</v>
          </cell>
          <cell r="D8">
            <v>9.3109518513393663</v>
          </cell>
        </row>
        <row r="9">
          <cell r="A9">
            <v>34730</v>
          </cell>
          <cell r="B9">
            <v>27669.643443999998</v>
          </cell>
          <cell r="C9">
            <v>2.9370509140207446E-2</v>
          </cell>
          <cell r="D9">
            <v>9.7934895241742268</v>
          </cell>
        </row>
        <row r="10">
          <cell r="A10">
            <v>34758</v>
          </cell>
          <cell r="B10">
            <v>27423.258972000003</v>
          </cell>
          <cell r="C10">
            <v>-0.89045047688686907</v>
          </cell>
          <cell r="D10">
            <v>2.5546288833361297</v>
          </cell>
        </row>
        <row r="11">
          <cell r="A11">
            <v>34789</v>
          </cell>
          <cell r="B11">
            <v>27222.550476</v>
          </cell>
          <cell r="C11">
            <v>-0.7318914801662828</v>
          </cell>
          <cell r="D11">
            <v>-1.5869288927156777</v>
          </cell>
        </row>
        <row r="12">
          <cell r="A12">
            <v>34819</v>
          </cell>
          <cell r="B12">
            <v>28411.406488999997</v>
          </cell>
          <cell r="C12">
            <v>4.3671735095068414</v>
          </cell>
          <cell r="D12">
            <v>2.6807828098733388</v>
          </cell>
        </row>
        <row r="13">
          <cell r="A13">
            <v>34850</v>
          </cell>
          <cell r="B13">
            <v>28101.872465999993</v>
          </cell>
          <cell r="C13">
            <v>-1.0894709599112815</v>
          </cell>
          <cell r="D13">
            <v>2.4745909838538083</v>
          </cell>
        </row>
        <row r="14">
          <cell r="A14">
            <v>34880</v>
          </cell>
          <cell r="B14">
            <v>27586.738187999999</v>
          </cell>
          <cell r="C14">
            <v>-1.8330959213598561</v>
          </cell>
          <cell r="D14">
            <v>1.337816279635784</v>
          </cell>
          <cell r="E14">
            <v>20.46731111295539</v>
          </cell>
        </row>
        <row r="15">
          <cell r="A15">
            <v>34911</v>
          </cell>
          <cell r="B15">
            <v>28586.387965999998</v>
          </cell>
          <cell r="C15">
            <v>3.6236606560279654</v>
          </cell>
          <cell r="D15">
            <v>0.61588459926384953</v>
          </cell>
          <cell r="E15">
            <v>19.996239790497871</v>
          </cell>
        </row>
        <row r="16">
          <cell r="A16">
            <v>34942</v>
          </cell>
          <cell r="B16">
            <v>29169.247071999995</v>
          </cell>
          <cell r="C16">
            <v>2.0389393255742334</v>
          </cell>
          <cell r="D16">
            <v>3.7982330440485823</v>
          </cell>
          <cell r="E16">
            <v>19.392908924168538</v>
          </cell>
        </row>
        <row r="17">
          <cell r="A17">
            <v>34972</v>
          </cell>
          <cell r="B17">
            <v>29746.657699000003</v>
          </cell>
          <cell r="C17">
            <v>1.9795184482299248</v>
          </cell>
          <cell r="D17">
            <v>7.8295574354620534</v>
          </cell>
          <cell r="E17">
            <v>17.550863853691933</v>
          </cell>
        </row>
        <row r="18">
          <cell r="A18">
            <v>35003</v>
          </cell>
          <cell r="B18">
            <v>31424.771260999998</v>
          </cell>
          <cell r="C18">
            <v>5.6413516401757136</v>
          </cell>
          <cell r="D18">
            <v>9.9291428437055629</v>
          </cell>
          <cell r="E18">
            <v>24.693883433193918</v>
          </cell>
        </row>
        <row r="19">
          <cell r="A19">
            <v>35033</v>
          </cell>
          <cell r="B19">
            <v>32213.290137000004</v>
          </cell>
          <cell r="C19">
            <v>2.5092270981097187</v>
          </cell>
          <cell r="D19">
            <v>10.435795814291104</v>
          </cell>
          <cell r="E19">
            <v>20.467885253330699</v>
          </cell>
        </row>
        <row r="20">
          <cell r="A20">
            <v>35064</v>
          </cell>
          <cell r="B20">
            <v>32819.457257000002</v>
          </cell>
          <cell r="C20">
            <v>1.8817299239600516</v>
          </cell>
          <cell r="D20">
            <v>10.329898535469063</v>
          </cell>
          <cell r="E20">
            <v>18.646619227802997</v>
          </cell>
        </row>
        <row r="21">
          <cell r="A21">
            <v>35095</v>
          </cell>
          <cell r="B21">
            <v>33360.781349999997</v>
          </cell>
          <cell r="C21">
            <v>1.6493998933652136</v>
          </cell>
          <cell r="D21">
            <v>6.160777028161557</v>
          </cell>
          <cell r="E21">
            <v>20.568164954919531</v>
          </cell>
        </row>
        <row r="22">
          <cell r="A22">
            <v>35124</v>
          </cell>
          <cell r="B22">
            <v>33633.795396000001</v>
          </cell>
          <cell r="C22">
            <v>0.81836826043047495</v>
          </cell>
          <cell r="D22">
            <v>4.4096869737885402</v>
          </cell>
          <cell r="E22">
            <v>22.646967052096723</v>
          </cell>
        </row>
        <row r="23">
          <cell r="A23">
            <v>35155</v>
          </cell>
          <cell r="B23">
            <v>34376.928224000003</v>
          </cell>
          <cell r="C23">
            <v>2.2094825137943843</v>
          </cell>
          <cell r="D23">
            <v>4.745571978244123</v>
          </cell>
          <cell r="E23">
            <v>26.281070740625356</v>
          </cell>
        </row>
        <row r="24">
          <cell r="A24">
            <v>35185</v>
          </cell>
          <cell r="B24">
            <v>35375.059950999988</v>
          </cell>
          <cell r="C24">
            <v>2.9034930651632465</v>
          </cell>
          <cell r="D24">
            <v>6.0378639812643131</v>
          </cell>
          <cell r="E24">
            <v>24.510062409955303</v>
          </cell>
        </row>
        <row r="25">
          <cell r="A25">
            <v>35216</v>
          </cell>
          <cell r="B25">
            <v>35588.267287000002</v>
          </cell>
          <cell r="C25">
            <v>0.60270522875534027</v>
          </cell>
          <cell r="D25">
            <v>5.8110357989287209</v>
          </cell>
          <cell r="E25">
            <v>26.640199260948449</v>
          </cell>
        </row>
        <row r="26">
          <cell r="A26">
            <v>35246</v>
          </cell>
          <cell r="B26">
            <v>35695.474384000001</v>
          </cell>
          <cell r="C26">
            <v>0.30124281167000788</v>
          </cell>
          <cell r="D26">
            <v>3.835555496431664</v>
          </cell>
          <cell r="E26">
            <v>29.393602609848358</v>
          </cell>
        </row>
        <row r="27">
          <cell r="A27">
            <v>35277</v>
          </cell>
          <cell r="B27">
            <v>35731.900712000002</v>
          </cell>
          <cell r="C27">
            <v>0.10204746856182112</v>
          </cell>
          <cell r="D27">
            <v>1.0087354240368551</v>
          </cell>
          <cell r="E27">
            <v>24.996207126618142</v>
          </cell>
        </row>
        <row r="28">
          <cell r="A28">
            <v>35308</v>
          </cell>
          <cell r="B28">
            <v>36282.832421999992</v>
          </cell>
          <cell r="C28">
            <v>1.5418483176714091</v>
          </cell>
          <cell r="D28">
            <v>1.9516688727740039</v>
          </cell>
          <cell r="E28">
            <v>24.387277917874115</v>
          </cell>
        </row>
        <row r="29">
          <cell r="A29">
            <v>35338</v>
          </cell>
          <cell r="B29">
            <v>36808.311694000004</v>
          </cell>
          <cell r="C29">
            <v>1.4482862470279088</v>
          </cell>
          <cell r="D29">
            <v>3.117586554610452</v>
          </cell>
          <cell r="E29">
            <v>23.739319107562771</v>
          </cell>
        </row>
        <row r="30">
          <cell r="A30">
            <v>35369</v>
          </cell>
          <cell r="B30">
            <v>37625.823175000005</v>
          </cell>
          <cell r="C30">
            <v>2.2209969525259794</v>
          </cell>
          <cell r="D30">
            <v>5.300368648914211</v>
          </cell>
          <cell r="E30">
            <v>19.733005731360343</v>
          </cell>
        </row>
        <row r="31">
          <cell r="A31">
            <v>35399</v>
          </cell>
          <cell r="B31">
            <v>38276.758574000007</v>
          </cell>
          <cell r="C31">
            <v>1.7300230109849224</v>
          </cell>
          <cell r="D31">
            <v>5.4955085336474641</v>
          </cell>
          <cell r="E31">
            <v>18.822878418232534</v>
          </cell>
        </row>
        <row r="32">
          <cell r="A32">
            <v>35430</v>
          </cell>
          <cell r="B32">
            <v>33831.202127000004</v>
          </cell>
          <cell r="C32">
            <v>-11.614244812306822</v>
          </cell>
          <cell r="D32">
            <v>-8.0881448509503073</v>
          </cell>
          <cell r="E32">
            <v>3.0827592975633644</v>
          </cell>
        </row>
        <row r="33">
          <cell r="A33">
            <v>35461</v>
          </cell>
          <cell r="B33">
            <v>34395.388705000005</v>
          </cell>
          <cell r="C33">
            <v>1.6676515835354735</v>
          </cell>
          <cell r="D33">
            <v>-8.5856845044294481</v>
          </cell>
          <cell r="E33">
            <v>3.101268355035125</v>
          </cell>
        </row>
        <row r="34">
          <cell r="A34">
            <v>35489</v>
          </cell>
          <cell r="B34">
            <v>35146.292185999999</v>
          </cell>
          <cell r="C34">
            <v>2.1831516062815552</v>
          </cell>
          <cell r="D34">
            <v>-8.1785044100532005</v>
          </cell>
          <cell r="E34">
            <v>4.4969554348299301</v>
          </cell>
        </row>
        <row r="35">
          <cell r="A35">
            <v>35520</v>
          </cell>
          <cell r="B35">
            <v>36541.229981000004</v>
          </cell>
          <cell r="C35">
            <v>3.9689472437597857</v>
          </cell>
          <cell r="D35">
            <v>8.0104391319786536</v>
          </cell>
          <cell r="E35">
            <v>6.2957974106860659</v>
          </cell>
        </row>
        <row r="36">
          <cell r="A36">
            <v>35550</v>
          </cell>
          <cell r="B36">
            <v>38094.047806999988</v>
          </cell>
          <cell r="C36">
            <v>4.2494952326656517</v>
          </cell>
          <cell r="D36">
            <v>10.75335747394044</v>
          </cell>
          <cell r="E36">
            <v>7.6861717259736784</v>
          </cell>
        </row>
        <row r="37">
          <cell r="A37">
            <v>35581</v>
          </cell>
          <cell r="B37">
            <v>38815.849593999999</v>
          </cell>
          <cell r="C37">
            <v>1.8947888936795323</v>
          </cell>
          <cell r="D37">
            <v>10.440809484483005</v>
          </cell>
          <cell r="E37">
            <v>9.0692313873313992</v>
          </cell>
        </row>
        <row r="38">
          <cell r="A38">
            <v>35611</v>
          </cell>
          <cell r="B38">
            <v>40432.860740999997</v>
          </cell>
          <cell r="C38">
            <v>4.1658527738368747</v>
          </cell>
          <cell r="D38">
            <v>10.64997199608082</v>
          </cell>
          <cell r="E38">
            <v>13.271672218267149</v>
          </cell>
        </row>
        <row r="39">
          <cell r="A39">
            <v>35642</v>
          </cell>
          <cell r="B39">
            <v>42635.276952</v>
          </cell>
          <cell r="C39">
            <v>5.447094691389708</v>
          </cell>
          <cell r="D39">
            <v>11.921098981152479</v>
          </cell>
          <cell r="E39">
            <v>19.319924500074535</v>
          </cell>
        </row>
        <row r="40">
          <cell r="A40">
            <v>35673</v>
          </cell>
          <cell r="B40">
            <v>43431.32310400001</v>
          </cell>
          <cell r="C40">
            <v>1.8671067925657496</v>
          </cell>
          <cell r="D40">
            <v>11.890692998546282</v>
          </cell>
          <cell r="E40">
            <v>19.702129643179546</v>
          </cell>
        </row>
        <row r="41">
          <cell r="A41">
            <v>35703</v>
          </cell>
          <cell r="B41">
            <v>43915.529320000001</v>
          </cell>
          <cell r="C41">
            <v>1.1148778839652778</v>
          </cell>
          <cell r="D41">
            <v>8.6134607227246853</v>
          </cell>
          <cell r="E41">
            <v>19.308730281042806</v>
          </cell>
        </row>
        <row r="42">
          <cell r="A42">
            <v>35734</v>
          </cell>
          <cell r="B42">
            <v>44912.247334999993</v>
          </cell>
          <cell r="C42">
            <v>2.26962541595978</v>
          </cell>
          <cell r="D42">
            <v>5.3405783796443229</v>
          </cell>
          <cell r="E42">
            <v>19.365487702715178</v>
          </cell>
        </row>
        <row r="43">
          <cell r="A43">
            <v>35764</v>
          </cell>
          <cell r="B43">
            <v>46555.350619999997</v>
          </cell>
          <cell r="C43">
            <v>3.6584748760045755</v>
          </cell>
          <cell r="D43">
            <v>7.1930286547320588</v>
          </cell>
          <cell r="E43">
            <v>21.628247412839528</v>
          </cell>
        </row>
        <row r="44">
          <cell r="A44">
            <v>35795</v>
          </cell>
          <cell r="B44">
            <v>48863.444892</v>
          </cell>
          <cell r="C44">
            <v>4.9577422170856948</v>
          </cell>
          <cell r="D44">
            <v>11.266892711108966</v>
          </cell>
          <cell r="E44">
            <v>44.433073080199726</v>
          </cell>
        </row>
        <row r="45">
          <cell r="A45">
            <v>35826</v>
          </cell>
          <cell r="B45">
            <v>49609.256172000001</v>
          </cell>
          <cell r="C45">
            <v>1.5263174376027422</v>
          </cell>
          <cell r="D45">
            <v>10.458191508354208</v>
          </cell>
          <cell r="E45">
            <v>44.232288221788238</v>
          </cell>
        </row>
        <row r="46">
          <cell r="A46">
            <v>35854</v>
          </cell>
          <cell r="B46">
            <v>51116.011985999998</v>
          </cell>
          <cell r="C46">
            <v>3.037247341052506</v>
          </cell>
          <cell r="D46">
            <v>9.7962131210773471</v>
          </cell>
          <cell r="E46">
            <v>45.437850785185518</v>
          </cell>
        </row>
        <row r="47">
          <cell r="A47">
            <v>35885</v>
          </cell>
          <cell r="B47">
            <v>52764.032390999993</v>
          </cell>
          <cell r="C47">
            <v>3.2240786027113444</v>
          </cell>
          <cell r="D47">
            <v>7.9826289522182403</v>
          </cell>
          <cell r="E47">
            <v>44.395884918036984</v>
          </cell>
        </row>
        <row r="48">
          <cell r="A48">
            <v>35915</v>
          </cell>
          <cell r="B48">
            <v>53856.527081</v>
          </cell>
          <cell r="C48">
            <v>2.0705291853060857</v>
          </cell>
          <cell r="D48">
            <v>8.5614484810542457</v>
          </cell>
          <cell r="E48">
            <v>41.377800946381903</v>
          </cell>
        </row>
        <row r="49">
          <cell r="A49">
            <v>35946</v>
          </cell>
          <cell r="B49">
            <v>54893.269297999999</v>
          </cell>
          <cell r="C49">
            <v>1.9250075583981499</v>
          </cell>
          <cell r="D49">
            <v>7.3895774831466587</v>
          </cell>
          <cell r="E49">
            <v>41.419728982269092</v>
          </cell>
        </row>
        <row r="50">
          <cell r="A50">
            <v>35976</v>
          </cell>
          <cell r="B50">
            <v>55905.308965999997</v>
          </cell>
          <cell r="C50">
            <v>1.8436498334721563</v>
          </cell>
          <cell r="D50">
            <v>5.9534429660759169</v>
          </cell>
          <cell r="E50">
            <v>38.267013368437034</v>
          </cell>
        </row>
        <row r="51">
          <cell r="A51">
            <v>36007</v>
          </cell>
          <cell r="B51">
            <v>56607.423688000003</v>
          </cell>
          <cell r="C51">
            <v>1.2558999046530914</v>
          </cell>
          <cell r="D51">
            <v>5.107823983642068</v>
          </cell>
          <cell r="E51">
            <v>32.771328662248969</v>
          </cell>
        </row>
        <row r="52">
          <cell r="A52">
            <v>36038</v>
          </cell>
          <cell r="B52">
            <v>56671.275396999998</v>
          </cell>
          <cell r="C52">
            <v>0.11279741214143257</v>
          </cell>
          <cell r="D52">
            <v>3.2390238762200596</v>
          </cell>
          <cell r="E52">
            <v>30.484800707765203</v>
          </cell>
        </row>
        <row r="53">
          <cell r="A53">
            <v>36068</v>
          </cell>
          <cell r="B53">
            <v>57803.995226999992</v>
          </cell>
          <cell r="C53">
            <v>1.9987547872620297</v>
          </cell>
          <cell r="D53">
            <v>3.3962539446025009</v>
          </cell>
          <cell r="E53">
            <v>31.625409330259192</v>
          </cell>
        </row>
        <row r="54">
          <cell r="A54">
            <v>36099</v>
          </cell>
          <cell r="B54">
            <v>58615.679039999995</v>
          </cell>
          <cell r="C54">
            <v>1.4042001937970952</v>
          </cell>
          <cell r="D54">
            <v>3.5476890152584595</v>
          </cell>
          <cell r="E54">
            <v>30.511569823674712</v>
          </cell>
        </row>
        <row r="55">
          <cell r="A55">
            <v>36129</v>
          </cell>
          <cell r="B55">
            <v>59640.565608000004</v>
          </cell>
          <cell r="C55">
            <v>1.7484853622536889</v>
          </cell>
          <cell r="D55">
            <v>5.2394977706063717</v>
          </cell>
          <cell r="E55">
            <v>28.106790763548982</v>
          </cell>
        </row>
        <row r="56">
          <cell r="A56">
            <v>36160</v>
          </cell>
          <cell r="B56">
            <v>59791.987834</v>
          </cell>
          <cell r="C56">
            <v>0.25389133127148966</v>
          </cell>
          <cell r="D56">
            <v>3.4391958534925271</v>
          </cell>
          <cell r="E56">
            <v>22.365477845769412</v>
          </cell>
        </row>
        <row r="57">
          <cell r="A57">
            <v>36191</v>
          </cell>
          <cell r="B57">
            <v>60418.040423139995</v>
          </cell>
          <cell r="C57">
            <v>1.047050970906156</v>
          </cell>
          <cell r="D57">
            <v>3.0748793030445754</v>
          </cell>
          <cell r="E57">
            <v>21.78783776492217</v>
          </cell>
        </row>
        <row r="58">
          <cell r="A58">
            <v>36219</v>
          </cell>
          <cell r="B58">
            <v>59476.214525139992</v>
          </cell>
          <cell r="C58">
            <v>-1.5588487998019929</v>
          </cell>
          <cell r="D58">
            <v>-0.275569289433375</v>
          </cell>
          <cell r="E58">
            <v>16.355349751130312</v>
          </cell>
        </row>
        <row r="59">
          <cell r="A59">
            <v>36250</v>
          </cell>
          <cell r="B59">
            <v>60061.920656210015</v>
          </cell>
          <cell r="C59">
            <v>0.98477372130408014</v>
          </cell>
          <cell r="D59">
            <v>0.4514531661991672</v>
          </cell>
          <cell r="E59">
            <v>13.831179943053073</v>
          </cell>
        </row>
        <row r="60">
          <cell r="A60">
            <v>36280</v>
          </cell>
          <cell r="B60">
            <v>60167.210147210011</v>
          </cell>
          <cell r="C60">
            <v>0.17530157186058659</v>
          </cell>
          <cell r="D60">
            <v>-0.41515791338693209</v>
          </cell>
          <cell r="E60">
            <v>11.717582637140289</v>
          </cell>
        </row>
        <row r="61">
          <cell r="A61">
            <v>36311</v>
          </cell>
          <cell r="B61">
            <v>55462.341868209995</v>
          </cell>
          <cell r="C61">
            <v>-7.8196550371684168</v>
          </cell>
          <cell r="D61">
            <v>-6.7487022988549032</v>
          </cell>
          <cell r="E61">
            <v>1.0366891560432689</v>
          </cell>
        </row>
        <row r="62">
          <cell r="A62">
            <v>36341</v>
          </cell>
          <cell r="B62">
            <v>54976.750272209996</v>
          </cell>
          <cell r="C62">
            <v>-0.87553388415128097</v>
          </cell>
          <cell r="D62">
            <v>-8.466546404846353</v>
          </cell>
          <cell r="E62">
            <v>-1.6609490421647166</v>
          </cell>
        </row>
        <row r="63">
          <cell r="A63">
            <v>36372</v>
          </cell>
          <cell r="B63">
            <v>58330.94178821001</v>
          </cell>
          <cell r="C63">
            <v>6.1011091041070671</v>
          </cell>
          <cell r="D63">
            <v>-3.0519420038044642</v>
          </cell>
          <cell r="E63">
            <v>3.0446856400132782</v>
          </cell>
        </row>
        <row r="64">
          <cell r="A64">
            <v>36403</v>
          </cell>
          <cell r="B64">
            <v>58013.421769209999</v>
          </cell>
          <cell r="C64">
            <v>-0.54434234947358107</v>
          </cell>
          <cell r="D64">
            <v>4.599661346904349</v>
          </cell>
          <cell r="E64">
            <v>2.3683009828309842</v>
          </cell>
        </row>
        <row r="65">
          <cell r="A65">
            <v>36433</v>
          </cell>
          <cell r="B65">
            <v>58133.54567421</v>
          </cell>
          <cell r="C65">
            <v>0.20706226479430256</v>
          </cell>
          <cell r="D65">
            <v>5.7420552985935958</v>
          </cell>
          <cell r="E65">
            <v>0.5701170756724272</v>
          </cell>
        </row>
        <row r="66">
          <cell r="A66">
            <v>36464</v>
          </cell>
          <cell r="B66">
            <v>58412.311302210001</v>
          </cell>
          <cell r="C66">
            <v>0.47952627827356764</v>
          </cell>
          <cell r="D66">
            <v>0.13949631448679778</v>
          </cell>
          <cell r="E66">
            <v>-0.34695109076738895</v>
          </cell>
        </row>
        <row r="67">
          <cell r="A67">
            <v>36494</v>
          </cell>
          <cell r="B67">
            <v>58559.65404921001</v>
          </cell>
          <cell r="C67">
            <v>0.25224604833336173</v>
          </cell>
          <cell r="D67">
            <v>0.94156190643785997</v>
          </cell>
          <cell r="E67">
            <v>-1.8123764383700003</v>
          </cell>
        </row>
        <row r="68">
          <cell r="A68">
            <v>36525</v>
          </cell>
          <cell r="B68">
            <v>55881.100385210004</v>
          </cell>
          <cell r="C68">
            <v>-4.5740599180266912</v>
          </cell>
          <cell r="D68">
            <v>-3.8746050372070351</v>
          </cell>
          <cell r="E68">
            <v>-6.5408219235790543</v>
          </cell>
        </row>
        <row r="69">
          <cell r="A69">
            <v>36556</v>
          </cell>
          <cell r="B69">
            <v>55904.290245839999</v>
          </cell>
          <cell r="C69">
            <v>4.149857549357705E-2</v>
          </cell>
          <cell r="D69">
            <v>-4.2936514588408521</v>
          </cell>
          <cell r="E69">
            <v>-7.4708649034092804</v>
          </cell>
        </row>
        <row r="70">
          <cell r="A70">
            <v>36585</v>
          </cell>
          <cell r="B70">
            <v>56168.489440800004</v>
          </cell>
          <cell r="C70">
            <v>0.47259198497680188</v>
          </cell>
          <cell r="D70">
            <v>-4.0832970194813907</v>
          </cell>
          <cell r="E70">
            <v>-5.5614250347789778</v>
          </cell>
        </row>
        <row r="71">
          <cell r="A71">
            <v>36616</v>
          </cell>
          <cell r="B71">
            <v>56136.604045130007</v>
          </cell>
          <cell r="C71">
            <v>-5.676740818107362E-2</v>
          </cell>
          <cell r="D71">
            <v>0.45722732401243249</v>
          </cell>
          <cell r="E71">
            <v>-6.5354496962363733</v>
          </cell>
        </row>
        <row r="72">
          <cell r="A72">
            <v>36646</v>
          </cell>
          <cell r="B72">
            <v>56232.941870720002</v>
          </cell>
          <cell r="C72">
            <v>0.17161320537407221</v>
          </cell>
          <cell r="D72">
            <v>0.58788265343276969</v>
          </cell>
          <cell r="E72">
            <v>-6.5388909787641891</v>
          </cell>
        </row>
        <row r="73">
          <cell r="A73">
            <v>36677</v>
          </cell>
          <cell r="B73">
            <v>56372.436749320004</v>
          </cell>
          <cell r="C73">
            <v>0.24806612273762596</v>
          </cell>
          <cell r="D73">
            <v>0.36309915141115034</v>
          </cell>
          <cell r="E73">
            <v>1.6409240043858686</v>
          </cell>
        </row>
        <row r="74">
          <cell r="A74">
            <v>36707</v>
          </cell>
          <cell r="B74">
            <v>56508.321120930006</v>
          </cell>
          <cell r="C74">
            <v>0.24104753926863509</v>
          </cell>
          <cell r="D74">
            <v>0.662165234471912</v>
          </cell>
          <cell r="E74">
            <v>2.785851912193138</v>
          </cell>
        </row>
        <row r="75">
          <cell r="A75">
            <v>36738</v>
          </cell>
          <cell r="B75">
            <v>57420.541477719999</v>
          </cell>
          <cell r="C75">
            <v>1.614311553935238</v>
          </cell>
          <cell r="D75">
            <v>2.11192864447729</v>
          </cell>
          <cell r="E75">
            <v>-1.560750234061925</v>
          </cell>
        </row>
        <row r="76">
          <cell r="A76">
            <v>36769</v>
          </cell>
          <cell r="B76">
            <v>57468.277600659996</v>
          </cell>
          <cell r="C76">
            <v>8.3134226378760445E-2</v>
          </cell>
          <cell r="D76">
            <v>1.9439302512556544</v>
          </cell>
          <cell r="E76">
            <v>-0.93968628625062944</v>
          </cell>
        </row>
        <row r="77">
          <cell r="A77">
            <v>36799</v>
          </cell>
          <cell r="B77">
            <v>57846.526617980002</v>
          </cell>
          <cell r="C77">
            <v>0.65818749597545434</v>
          </cell>
          <cell r="D77">
            <v>2.368156530763299</v>
          </cell>
          <cell r="E77">
            <v>-0.49372363736163161</v>
          </cell>
        </row>
        <row r="78">
          <cell r="A78">
            <v>36830</v>
          </cell>
          <cell r="B78">
            <v>58555.626495590004</v>
          </cell>
          <cell r="C78">
            <v>1.2258296548951222</v>
          </cell>
          <cell r="D78">
            <v>1.976792605326505</v>
          </cell>
          <cell r="E78">
            <v>0.24535100595237669</v>
          </cell>
        </row>
        <row r="79">
          <cell r="A79">
            <v>36860</v>
          </cell>
          <cell r="B79">
            <v>59308.903581230006</v>
          </cell>
          <cell r="C79">
            <v>1.2864298970428365</v>
          </cell>
          <cell r="D79">
            <v>3.2028556577948786</v>
          </cell>
          <cell r="E79">
            <v>1.2794637266647202</v>
          </cell>
        </row>
        <row r="80">
          <cell r="A80">
            <v>36891</v>
          </cell>
          <cell r="B80">
            <v>60884.900427550005</v>
          </cell>
          <cell r="C80">
            <v>2.6572685569233272</v>
          </cell>
          <cell r="D80">
            <v>5.2524740675192305</v>
          </cell>
          <cell r="E80">
            <v>8.9543692014775633</v>
          </cell>
        </row>
        <row r="81">
          <cell r="A81">
            <v>36922</v>
          </cell>
          <cell r="B81">
            <v>61919.351822379991</v>
          </cell>
          <cell r="C81">
            <v>1.6990278173500997</v>
          </cell>
          <cell r="D81">
            <v>5.7444954961643591</v>
          </cell>
          <cell r="E81">
            <v>10.759570598407864</v>
          </cell>
        </row>
        <row r="82">
          <cell r="A82">
            <v>36950</v>
          </cell>
          <cell r="B82">
            <v>62881.789855940006</v>
          </cell>
          <cell r="C82">
            <v>1.554341260420216</v>
          </cell>
          <cell r="D82">
            <v>6.0241988284550629</v>
          </cell>
          <cell r="E82">
            <v>11.95207576699322</v>
          </cell>
        </row>
        <row r="83">
          <cell r="A83">
            <v>36981</v>
          </cell>
          <cell r="B83">
            <v>64747.823293539994</v>
          </cell>
          <cell r="C83">
            <v>2.9675259592244458</v>
          </cell>
          <cell r="D83">
            <v>6.3446319840609222</v>
          </cell>
          <cell r="E83">
            <v>15.339758068527187</v>
          </cell>
        </row>
        <row r="84">
          <cell r="A84">
            <v>37011</v>
          </cell>
          <cell r="B84">
            <v>65555.799551760007</v>
          </cell>
          <cell r="C84">
            <v>1.2478817311849753</v>
          </cell>
          <cell r="D84">
            <v>5.8728775776132558</v>
          </cell>
          <cell r="E84">
            <v>16.578996884910158</v>
          </cell>
        </row>
        <row r="85">
          <cell r="A85">
            <v>37042</v>
          </cell>
          <cell r="B85">
            <v>65809.781342700007</v>
          </cell>
          <cell r="C85">
            <v>0.38742840858721195</v>
          </cell>
          <cell r="D85">
            <v>4.6563424696846711</v>
          </cell>
          <cell r="E85">
            <v>16.741062011114582</v>
          </cell>
        </row>
        <row r="86">
          <cell r="A86">
            <v>37072</v>
          </cell>
          <cell r="B86">
            <v>67599.89303757</v>
          </cell>
          <cell r="C86">
            <v>2.7201301361998276</v>
          </cell>
          <cell r="D86">
            <v>4.4048889969627192</v>
          </cell>
          <cell r="E86">
            <v>19.628209963809763</v>
          </cell>
        </row>
        <row r="87">
          <cell r="A87">
            <v>37103</v>
          </cell>
          <cell r="B87">
            <v>68543.570647660003</v>
          </cell>
          <cell r="C87">
            <v>1.3959750048206985</v>
          </cell>
          <cell r="D87">
            <v>4.5575999626714658</v>
          </cell>
          <cell r="E87">
            <v>19.371167327385621</v>
          </cell>
        </row>
        <row r="88">
          <cell r="A88">
            <v>37134</v>
          </cell>
          <cell r="B88">
            <v>71733.103625959993</v>
          </cell>
          <cell r="C88">
            <v>4.653292713178601</v>
          </cell>
          <cell r="D88">
            <v>9.0006715755742697</v>
          </cell>
          <cell r="E88">
            <v>24.822087281655669</v>
          </cell>
        </row>
        <row r="89">
          <cell r="A89">
            <v>37164</v>
          </cell>
          <cell r="B89">
            <v>71547.474630479992</v>
          </cell>
          <cell r="C89">
            <v>-0.25877730935486909</v>
          </cell>
          <cell r="D89">
            <v>5.8396269809421808</v>
          </cell>
          <cell r="E89">
            <v>23.684996858984153</v>
          </cell>
        </row>
        <row r="90">
          <cell r="A90">
            <v>37195</v>
          </cell>
          <cell r="B90">
            <v>72969.22253966998</v>
          </cell>
          <cell r="C90">
            <v>1.9871391918902361</v>
          </cell>
          <cell r="D90">
            <v>6.4566987832593403</v>
          </cell>
          <cell r="E90">
            <v>24.615219589812611</v>
          </cell>
        </row>
        <row r="91">
          <cell r="A91">
            <v>37225</v>
          </cell>
          <cell r="B91">
            <v>74112.016256420015</v>
          </cell>
          <cell r="C91">
            <v>1.5661311399182836</v>
          </cell>
          <cell r="D91">
            <v>3.3163386361539038</v>
          </cell>
          <cell r="E91">
            <v>24.959343001368307</v>
          </cell>
        </row>
        <row r="92">
          <cell r="A92">
            <v>37256</v>
          </cell>
          <cell r="B92">
            <v>74976.151209189993</v>
          </cell>
          <cell r="C92">
            <v>1.1659849460580887</v>
          </cell>
          <cell r="D92">
            <v>4.7921699492791792</v>
          </cell>
          <cell r="E92">
            <v>23.144081180534858</v>
          </cell>
        </row>
        <row r="93">
          <cell r="A93">
            <v>37287</v>
          </cell>
          <cell r="B93">
            <v>77321.661432289999</v>
          </cell>
          <cell r="C93">
            <v>3.1283417263655338</v>
          </cell>
          <cell r="D93">
            <v>5.9647598550934156</v>
          </cell>
          <cell r="E93">
            <v>24.874791412695352</v>
          </cell>
        </row>
        <row r="94">
          <cell r="A94">
            <v>37315</v>
          </cell>
          <cell r="B94">
            <v>77362.777006959994</v>
          </cell>
          <cell r="C94">
            <v>5.3174717030614715E-2</v>
          </cell>
          <cell r="D94">
            <v>4.3862802751077234</v>
          </cell>
          <cell r="E94">
            <v>23.028904209303569</v>
          </cell>
        </row>
        <row r="95">
          <cell r="A95">
            <v>37346</v>
          </cell>
          <cell r="B95">
            <v>79887.508226639984</v>
          </cell>
          <cell r="C95">
            <v>3.2634961118999826</v>
          </cell>
          <cell r="D95">
            <v>6.5505589954155896</v>
          </cell>
          <cell r="E95">
            <v>23.382538845302768</v>
          </cell>
        </row>
        <row r="96">
          <cell r="A96">
            <v>37376</v>
          </cell>
          <cell r="B96">
            <v>82162.224423880005</v>
          </cell>
          <cell r="C96">
            <v>2.847399108740106</v>
          </cell>
          <cell r="D96">
            <v>6.2602935605940768</v>
          </cell>
          <cell r="E96">
            <v>25.331740266562221</v>
          </cell>
        </row>
        <row r="97">
          <cell r="A97">
            <v>37407</v>
          </cell>
          <cell r="B97">
            <v>84049.348489200012</v>
          </cell>
          <cell r="C97">
            <v>2.2968268916189629</v>
          </cell>
          <cell r="D97">
            <v>8.6431378770677405</v>
          </cell>
          <cell r="E97">
            <v>27.715586914836688</v>
          </cell>
        </row>
        <row r="98">
          <cell r="A98">
            <v>37437</v>
          </cell>
          <cell r="B98">
            <v>85059.944670269993</v>
          </cell>
          <cell r="C98">
            <v>1.2023843125920735</v>
          </cell>
          <cell r="D98">
            <v>6.4746498651026441</v>
          </cell>
          <cell r="E98">
            <v>25.828519614663037</v>
          </cell>
        </row>
        <row r="99">
          <cell r="A99">
            <v>37468</v>
          </cell>
          <cell r="B99">
            <v>87531.249684599999</v>
          </cell>
          <cell r="C99">
            <v>2.9053687066337659</v>
          </cell>
          <cell r="D99">
            <v>6.5346639509427762</v>
          </cell>
          <cell r="E99">
            <v>27.701619360543496</v>
          </cell>
        </row>
        <row r="100">
          <cell r="A100">
            <v>37499</v>
          </cell>
          <cell r="B100">
            <v>89158.197158989991</v>
          </cell>
          <cell r="C100">
            <v>1.8587047257434932</v>
          </cell>
          <cell r="D100">
            <v>6.0783917562983181</v>
          </cell>
          <cell r="E100">
            <v>24.291565054664545</v>
          </cell>
        </row>
        <row r="101">
          <cell r="A101">
            <v>37529</v>
          </cell>
          <cell r="B101">
            <v>91237.957940839988</v>
          </cell>
          <cell r="C101">
            <v>2.3326635666951461</v>
          </cell>
          <cell r="D101">
            <v>7.2631287200088268</v>
          </cell>
          <cell r="E101">
            <v>27.52086417033599</v>
          </cell>
        </row>
        <row r="102">
          <cell r="A102">
            <v>37560</v>
          </cell>
          <cell r="B102">
            <v>94661.669167389991</v>
          </cell>
          <cell r="C102">
            <v>3.7525075131229642</v>
          </cell>
          <cell r="D102">
            <v>8.1461415305767115</v>
          </cell>
          <cell r="E102">
            <v>29.728213995875908</v>
          </cell>
        </row>
        <row r="103">
          <cell r="A103">
            <v>37590</v>
          </cell>
          <cell r="B103">
            <v>95495.334482920007</v>
          </cell>
          <cell r="C103">
            <v>0.88067886702467035</v>
          </cell>
          <cell r="D103">
            <v>7.1077450261016528</v>
          </cell>
          <cell r="E103">
            <v>28.852700690959331</v>
          </cell>
        </row>
        <row r="104">
          <cell r="A104">
            <v>37621</v>
          </cell>
          <cell r="B104">
            <v>97557.068175030014</v>
          </cell>
          <cell r="C104">
            <v>2.1589889215779152</v>
          </cell>
          <cell r="D104">
            <v>6.9259663157821061</v>
          </cell>
          <cell r="E104">
            <v>30.117466156454586</v>
          </cell>
        </row>
        <row r="105">
          <cell r="A105">
            <v>37652</v>
          </cell>
          <cell r="B105">
            <v>100255.25035911</v>
          </cell>
          <cell r="C105">
            <v>2.7657475102051023</v>
          </cell>
          <cell r="D105">
            <v>5.9090244667341363</v>
          </cell>
          <cell r="E105">
            <v>29.659979496046883</v>
          </cell>
        </row>
        <row r="106">
          <cell r="A106">
            <v>37680</v>
          </cell>
          <cell r="B106">
            <v>102267.4057364</v>
          </cell>
          <cell r="C106">
            <v>2.0070324198309351</v>
          </cell>
          <cell r="D106">
            <v>7.0915205335934317</v>
          </cell>
          <cell r="E106">
            <v>32.192004595697824</v>
          </cell>
        </row>
        <row r="107">
          <cell r="A107">
            <v>37711</v>
          </cell>
          <cell r="B107">
            <v>102820.08138764999</v>
          </cell>
          <cell r="C107">
            <v>0.54042208978542305</v>
          </cell>
          <cell r="D107">
            <v>5.3948046113659887</v>
          </cell>
          <cell r="E107">
            <v>28.706081426335817</v>
          </cell>
        </row>
        <row r="108">
          <cell r="A108">
            <v>37741</v>
          </cell>
          <cell r="B108">
            <v>103836.01895076</v>
          </cell>
          <cell r="C108">
            <v>0.98807309758855411</v>
          </cell>
          <cell r="D108">
            <v>3.5716519372539945</v>
          </cell>
          <cell r="E108">
            <v>26.379269401304839</v>
          </cell>
        </row>
        <row r="109">
          <cell r="A109">
            <v>37772</v>
          </cell>
          <cell r="B109">
            <v>105017.45455663001</v>
          </cell>
          <cell r="C109">
            <v>1.1377897745003622</v>
          </cell>
          <cell r="D109">
            <v>2.689076544405955</v>
          </cell>
          <cell r="E109">
            <v>24.947374898598174</v>
          </cell>
        </row>
        <row r="110">
          <cell r="A110">
            <v>37802</v>
          </cell>
          <cell r="B110">
            <v>104205.14852653</v>
          </cell>
          <cell r="C110">
            <v>-0.77349620930107221</v>
          </cell>
          <cell r="D110">
            <v>1.3470784307766381</v>
          </cell>
          <cell r="E110">
            <v>22.507895967338442</v>
          </cell>
        </row>
        <row r="111">
          <cell r="A111">
            <v>37833</v>
          </cell>
          <cell r="B111">
            <v>106971.95502836999</v>
          </cell>
          <cell r="C111">
            <v>2.6551533594672492</v>
          </cell>
          <cell r="D111">
            <v>3.020085043030285</v>
          </cell>
          <cell r="E111">
            <v>22.210016895474926</v>
          </cell>
        </row>
        <row r="112">
          <cell r="A112">
            <v>37864</v>
          </cell>
          <cell r="B112">
            <v>106914.41880248001</v>
          </cell>
          <cell r="C112">
            <v>-5.3786271247190598E-2</v>
          </cell>
          <cell r="D112">
            <v>1.8063323414748034</v>
          </cell>
          <cell r="E112">
            <v>19.915411268160234</v>
          </cell>
        </row>
        <row r="113">
          <cell r="A113">
            <v>37894</v>
          </cell>
          <cell r="B113">
            <v>107342.67614164001</v>
          </cell>
          <cell r="C113">
            <v>0.40056088220541142</v>
          </cell>
          <cell r="D113">
            <v>3.0109142009535406</v>
          </cell>
          <cell r="E113">
            <v>17.651335654884505</v>
          </cell>
        </row>
        <row r="114">
          <cell r="A114">
            <v>37925</v>
          </cell>
          <cell r="B114">
            <v>108686.97570271</v>
          </cell>
          <cell r="C114">
            <v>1.2523439971779453</v>
          </cell>
          <cell r="D114">
            <v>1.603243274263022</v>
          </cell>
          <cell r="E114">
            <v>14.816246806845434</v>
          </cell>
        </row>
        <row r="115">
          <cell r="A115">
            <v>37955</v>
          </cell>
          <cell r="B115">
            <v>111112.05316499999</v>
          </cell>
          <cell r="C115">
            <v>2.2312493715192403</v>
          </cell>
          <cell r="D115">
            <v>3.9261630091961042</v>
          </cell>
          <cell r="E115">
            <v>16.353383928796173</v>
          </cell>
        </row>
        <row r="116">
          <cell r="A116">
            <v>37986</v>
          </cell>
          <cell r="B116">
            <v>111848.96238809</v>
          </cell>
          <cell r="C116">
            <v>0.66321267774227977</v>
          </cell>
          <cell r="D116">
            <v>4.1980379178397698</v>
          </cell>
          <cell r="E116">
            <v>14.649778309674577</v>
          </cell>
        </row>
        <row r="117">
          <cell r="A117">
            <v>38017</v>
          </cell>
          <cell r="B117">
            <v>113297.58382205</v>
          </cell>
          <cell r="C117">
            <v>1.2951585808490762</v>
          </cell>
          <cell r="D117">
            <v>4.242098089058377</v>
          </cell>
          <cell r="E117">
            <v>13.009127617978034</v>
          </cell>
        </row>
        <row r="118">
          <cell r="A118">
            <v>38046</v>
          </cell>
          <cell r="B118">
            <v>113720.81235803002</v>
          </cell>
          <cell r="C118">
            <v>0.37355477645910184</v>
          </cell>
          <cell r="D118">
            <v>2.3478633674026916</v>
          </cell>
          <cell r="E118">
            <v>11.199469214220436</v>
          </cell>
        </row>
        <row r="119">
          <cell r="A119">
            <v>38077</v>
          </cell>
          <cell r="B119">
            <v>113497.57397319999</v>
          </cell>
          <cell r="C119">
            <v>-0.19630389565561757</v>
          </cell>
          <cell r="D119">
            <v>1.4739623416350378</v>
          </cell>
          <cell r="E119">
            <v>10.384637360180605</v>
          </cell>
        </row>
        <row r="120">
          <cell r="A120">
            <v>38107</v>
          </cell>
          <cell r="B120">
            <v>116159.34429464002</v>
          </cell>
          <cell r="C120">
            <v>2.3452222177617159</v>
          </cell>
          <cell r="D120">
            <v>2.5258795254493815</v>
          </cell>
          <cell r="E120">
            <v>11.868064153849978</v>
          </cell>
        </row>
        <row r="121">
          <cell r="A121">
            <v>38138</v>
          </cell>
          <cell r="B121">
            <v>115552.59222247</v>
          </cell>
          <cell r="C121">
            <v>-0.52234460848106323</v>
          </cell>
          <cell r="D121">
            <v>1.6107692395592066</v>
          </cell>
          <cell r="E121">
            <v>10.031796819222084</v>
          </cell>
        </row>
        <row r="122">
          <cell r="A122">
            <v>38168</v>
          </cell>
          <cell r="B122">
            <v>117039.54472199999</v>
          </cell>
          <cell r="C122">
            <v>1.286818816376865</v>
          </cell>
          <cell r="D122">
            <v>3.1207457787920223</v>
          </cell>
          <cell r="E122">
            <v>12.316470325074613</v>
          </cell>
        </row>
        <row r="123">
          <cell r="A123">
            <v>38199</v>
          </cell>
          <cell r="B123">
            <v>118158.74742499</v>
          </cell>
          <cell r="C123">
            <v>0.9562603012925166</v>
          </cell>
          <cell r="D123">
            <v>1.7212589675768664</v>
          </cell>
          <cell r="E123">
            <v>10.457687151415684</v>
          </cell>
        </row>
        <row r="124">
          <cell r="A124">
            <v>38230</v>
          </cell>
          <cell r="B124">
            <v>119191.27224583998</v>
          </cell>
          <cell r="C124">
            <v>0.87384543535844728</v>
          </cell>
          <cell r="D124">
            <v>3.1489384646296248</v>
          </cell>
          <cell r="E124">
            <v>11.482879092333608</v>
          </cell>
        </row>
        <row r="125">
          <cell r="A125">
            <v>38260</v>
          </cell>
          <cell r="B125">
            <v>120937.27091216999</v>
          </cell>
          <cell r="C125">
            <v>1.4648712388342915</v>
          </cell>
          <cell r="D125">
            <v>3.3302643131670751</v>
          </cell>
          <cell r="E125">
            <v>12.664669131773598</v>
          </cell>
        </row>
        <row r="126">
          <cell r="A126">
            <v>38291</v>
          </cell>
          <cell r="B126">
            <v>121653.55391351003</v>
          </cell>
          <cell r="C126">
            <v>0.5922764718746123</v>
          </cell>
          <cell r="D126">
            <v>2.9577213407230962</v>
          </cell>
          <cell r="E126">
            <v>11.930204265014543</v>
          </cell>
        </row>
        <row r="127">
          <cell r="A127">
            <v>38321</v>
          </cell>
          <cell r="B127">
            <v>125176.72300595998</v>
          </cell>
          <cell r="C127">
            <v>2.8960675451822624</v>
          </cell>
          <cell r="D127">
            <v>5.021718996148139</v>
          </cell>
          <cell r="E127">
            <v>12.658095535390878</v>
          </cell>
        </row>
        <row r="128">
          <cell r="A128">
            <v>38352</v>
          </cell>
          <cell r="B128">
            <v>127681.72138252</v>
          </cell>
          <cell r="C128">
            <v>2.0011694797608328</v>
          </cell>
          <cell r="D128">
            <v>5.5768171544470668</v>
          </cell>
          <cell r="E128">
            <v>14.155481335172325</v>
          </cell>
        </row>
        <row r="129">
          <cell r="A129">
            <v>38383</v>
          </cell>
          <cell r="B129">
            <v>127422.93829584002</v>
          </cell>
          <cell r="C129">
            <v>-0.20267825643162496</v>
          </cell>
          <cell r="D129">
            <v>4.7424708910943636</v>
          </cell>
          <cell r="E129">
            <v>12.467480768147631</v>
          </cell>
        </row>
        <row r="130">
          <cell r="A130">
            <v>38411</v>
          </cell>
          <cell r="B130">
            <v>128470.46466993997</v>
          </cell>
          <cell r="C130">
            <v>0.82208618645090326</v>
          </cell>
          <cell r="D130">
            <v>2.6312732789970594</v>
          </cell>
          <cell r="E130">
            <v>12.970055354048359</v>
          </cell>
        </row>
        <row r="131">
          <cell r="A131">
            <v>38442</v>
          </cell>
          <cell r="B131">
            <v>128617.15019870002</v>
          </cell>
          <cell r="C131">
            <v>0.11417840601488649</v>
          </cell>
          <cell r="D131">
            <v>0.7326254737571869</v>
          </cell>
          <cell r="E131">
            <v>13.32149727629437</v>
          </cell>
        </row>
        <row r="132">
          <cell r="A132">
            <v>38472</v>
          </cell>
          <cell r="B132">
            <v>130294.49100039998</v>
          </cell>
          <cell r="C132">
            <v>1.30413463454029</v>
          </cell>
          <cell r="D132">
            <v>2.2535602639244035</v>
          </cell>
          <cell r="E132">
            <v>12.168755593098002</v>
          </cell>
        </row>
        <row r="133">
          <cell r="A133">
            <v>38503</v>
          </cell>
          <cell r="B133">
            <v>132302.24589304003</v>
          </cell>
          <cell r="C133">
            <v>1.5409361341561976</v>
          </cell>
          <cell r="D133">
            <v>2.9826164581442827</v>
          </cell>
          <cell r="E133">
            <v>14.495264319403933</v>
          </cell>
        </row>
        <row r="134">
          <cell r="A134">
            <v>38533</v>
          </cell>
          <cell r="B134">
            <v>134281.14016531</v>
          </cell>
          <cell r="C134">
            <v>1.4957374751368917</v>
          </cell>
          <cell r="D134">
            <v>4.4037594969719818</v>
          </cell>
          <cell r="E134">
            <v>14.731427300288447</v>
          </cell>
        </row>
        <row r="135">
          <cell r="A135">
            <v>38564</v>
          </cell>
          <cell r="B135">
            <v>135621.54093619998</v>
          </cell>
          <cell r="C135">
            <v>0.99820478828213766</v>
          </cell>
          <cell r="D135">
            <v>4.0884690479996211</v>
          </cell>
          <cell r="E135">
            <v>14.779094981770836</v>
          </cell>
        </row>
        <row r="136">
          <cell r="A136">
            <v>38595</v>
          </cell>
          <cell r="B136">
            <v>138849.03259411</v>
          </cell>
          <cell r="C136">
            <v>2.3797780467841108</v>
          </cell>
          <cell r="D136">
            <v>4.948356437095347</v>
          </cell>
          <cell r="E136">
            <v>16.492617267919218</v>
          </cell>
        </row>
        <row r="137">
          <cell r="A137">
            <v>38625</v>
          </cell>
          <cell r="B137">
            <v>141421.21330850999</v>
          </cell>
          <cell r="C137">
            <v>1.8525017181207915</v>
          </cell>
          <cell r="D137">
            <v>5.3172568645232232</v>
          </cell>
          <cell r="E137">
            <v>16.93765887210763</v>
          </cell>
        </row>
        <row r="138">
          <cell r="A138">
            <v>38656</v>
          </cell>
          <cell r="B138">
            <v>143743.87651715998</v>
          </cell>
          <cell r="C138">
            <v>1.6423725651279142</v>
          </cell>
          <cell r="D138">
            <v>5.9889716079696953</v>
          </cell>
          <cell r="E138">
            <v>18.158386576486805</v>
          </cell>
        </row>
        <row r="139">
          <cell r="A139">
            <v>38686</v>
          </cell>
          <cell r="B139">
            <v>147014.59087023998</v>
          </cell>
          <cell r="C139">
            <v>2.275376476777808</v>
          </cell>
          <cell r="D139">
            <v>5.8808895701851327</v>
          </cell>
          <cell r="E139">
            <v>17.445629938115758</v>
          </cell>
        </row>
        <row r="140">
          <cell r="A140">
            <v>38717</v>
          </cell>
          <cell r="B140">
            <v>149743.81789581</v>
          </cell>
          <cell r="C140">
            <v>1.8564327590986807</v>
          </cell>
          <cell r="D140">
            <v>5.8849760885195224</v>
          </cell>
          <cell r="E140">
            <v>17.278977973044761</v>
          </cell>
        </row>
        <row r="141">
          <cell r="A141">
            <v>38748</v>
          </cell>
          <cell r="B141">
            <v>151151.37228144999</v>
          </cell>
          <cell r="C141">
            <v>0.93997495550657106</v>
          </cell>
          <cell r="D141">
            <v>5.1532600509808235</v>
          </cell>
          <cell r="E141">
            <v>18.6217915729735</v>
          </cell>
        </row>
        <row r="142">
          <cell r="A142">
            <v>38776</v>
          </cell>
          <cell r="B142">
            <v>153291.42214380001</v>
          </cell>
          <cell r="C142">
            <v>1.4158322415790821</v>
          </cell>
          <cell r="D142">
            <v>4.2695294639837345</v>
          </cell>
          <cell r="E142">
            <v>19.320360938701995</v>
          </cell>
        </row>
        <row r="143">
          <cell r="A143">
            <v>38807</v>
          </cell>
          <cell r="B143">
            <v>157298.01038847998</v>
          </cell>
          <cell r="C143">
            <v>2.6137067480015048</v>
          </cell>
          <cell r="D143">
            <v>5.0447441495889311</v>
          </cell>
          <cell r="E143">
            <v>22.299405752243008</v>
          </cell>
        </row>
        <row r="144">
          <cell r="A144">
            <v>38837</v>
          </cell>
          <cell r="B144">
            <v>159862.64974421004</v>
          </cell>
          <cell r="C144">
            <v>1.6304334361230417</v>
          </cell>
          <cell r="D144">
            <v>5.7632804329022624</v>
          </cell>
          <cell r="E144">
            <v>22.693329945714492</v>
          </cell>
        </row>
        <row r="145">
          <cell r="A145">
            <v>38868</v>
          </cell>
          <cell r="B145">
            <v>162779.47431062002</v>
          </cell>
          <cell r="C145">
            <v>1.824581646230115</v>
          </cell>
          <cell r="D145">
            <v>6.1895519228202023</v>
          </cell>
          <cell r="E145">
            <v>23.036062775698717</v>
          </cell>
        </row>
        <row r="146">
          <cell r="A146">
            <v>38898</v>
          </cell>
          <cell r="B146">
            <v>165569.24946386999</v>
          </cell>
          <cell r="C146">
            <v>1.7138371806794623</v>
          </cell>
          <cell r="D146">
            <v>5.2583240277245036</v>
          </cell>
          <cell r="E146">
            <v>23.300449534493083</v>
          </cell>
        </row>
        <row r="147">
          <cell r="A147">
            <v>38929</v>
          </cell>
          <cell r="B147">
            <v>167660.49508866001</v>
          </cell>
          <cell r="C147">
            <v>1.2630640240030715</v>
          </cell>
          <cell r="D147">
            <v>4.8778406694290455</v>
          </cell>
          <cell r="E147">
            <v>23.623794517665896</v>
          </cell>
        </row>
        <row r="148">
          <cell r="A148">
            <v>38960</v>
          </cell>
          <cell r="B148">
            <v>169886.95391894001</v>
          </cell>
          <cell r="C148">
            <v>1.327956731311474</v>
          </cell>
          <cell r="D148">
            <v>4.3663242177311101</v>
          </cell>
          <cell r="E148">
            <v>22.35371809579798</v>
          </cell>
        </row>
        <row r="149">
          <cell r="A149">
            <v>38990</v>
          </cell>
          <cell r="B149">
            <v>173427.37317761005</v>
          </cell>
          <cell r="C149">
            <v>2.0839853661507703</v>
          </cell>
          <cell r="D149">
            <v>4.7461251042602681</v>
          </cell>
          <cell r="E149">
            <v>22.631795556214552</v>
          </cell>
        </row>
        <row r="150">
          <cell r="A150">
            <v>39021</v>
          </cell>
          <cell r="B150">
            <v>175786.06297850999</v>
          </cell>
          <cell r="C150">
            <v>1.3600447021038491</v>
          </cell>
          <cell r="D150">
            <v>4.8464415457875942</v>
          </cell>
          <cell r="E150">
            <v>22.291166231018433</v>
          </cell>
        </row>
        <row r="151">
          <cell r="A151">
            <v>39051</v>
          </cell>
          <cell r="B151">
            <v>179283.08043943997</v>
          </cell>
          <cell r="C151">
            <v>1.9893599081046034</v>
          </cell>
          <cell r="D151">
            <v>5.5308111092410517</v>
          </cell>
          <cell r="E151">
            <v>21.949174825566288</v>
          </cell>
        </row>
        <row r="152">
          <cell r="A152">
            <v>39082</v>
          </cell>
          <cell r="B152">
            <v>184675.51459688004</v>
          </cell>
          <cell r="C152">
            <v>3.0077763859381861</v>
          </cell>
          <cell r="D152">
            <v>6.4857935706323477</v>
          </cell>
          <cell r="E152">
            <v>23.327638624370529</v>
          </cell>
        </row>
        <row r="153">
          <cell r="A153">
            <v>39113</v>
          </cell>
          <cell r="B153">
            <v>185676.59921862005</v>
          </cell>
          <cell r="C153">
            <v>0.54207761322622616</v>
          </cell>
          <cell r="D153">
            <v>5.6264621168056861</v>
          </cell>
          <cell r="E153">
            <v>22.841490894890914</v>
          </cell>
        </row>
        <row r="154">
          <cell r="A154">
            <v>39141</v>
          </cell>
          <cell r="B154">
            <v>187920.64326275</v>
          </cell>
          <cell r="C154">
            <v>1.2085766615575437</v>
          </cell>
          <cell r="D154">
            <v>4.8178349022889089</v>
          </cell>
          <cell r="E154">
            <v>22.590449377177112</v>
          </cell>
        </row>
        <row r="155">
          <cell r="A155">
            <v>39172</v>
          </cell>
          <cell r="B155">
            <v>193074.26214628996</v>
          </cell>
          <cell r="C155">
            <v>2.7424442541600769</v>
          </cell>
          <cell r="D155">
            <v>4.5478403391717492</v>
          </cell>
          <cell r="E155">
            <v>22.744249383353999</v>
          </cell>
        </row>
        <row r="156">
          <cell r="A156">
            <v>39202</v>
          </cell>
          <cell r="B156">
            <v>195694.13274519</v>
          </cell>
          <cell r="C156">
            <v>1.3569237917972856</v>
          </cell>
          <cell r="D156">
            <v>5.3951513377165305</v>
          </cell>
          <cell r="E156">
            <v>22.413917859057463</v>
          </cell>
        </row>
        <row r="157">
          <cell r="A157">
            <v>39233</v>
          </cell>
          <cell r="B157">
            <v>198202.32937868001</v>
          </cell>
          <cell r="C157">
            <v>1.2816923012995574</v>
          </cell>
          <cell r="D157">
            <v>5.4712914650649536</v>
          </cell>
          <cell r="E157">
            <v>21.761254124991947</v>
          </cell>
        </row>
        <row r="158">
          <cell r="A158">
            <v>39263</v>
          </cell>
          <cell r="B158">
            <v>201332.51582543997</v>
          </cell>
          <cell r="C158">
            <v>1.5792884254046839</v>
          </cell>
          <cell r="D158">
            <v>4.2772421281573214</v>
          </cell>
          <cell r="E158">
            <v>21.600186313204329</v>
          </cell>
        </row>
        <row r="159">
          <cell r="A159">
            <v>39294</v>
          </cell>
          <cell r="B159">
            <v>200932.34906573</v>
          </cell>
          <cell r="C159">
            <v>-0.1987591314146897</v>
          </cell>
          <cell r="D159">
            <v>2.6767365209464877</v>
          </cell>
          <cell r="E159">
            <v>19.844778556496333</v>
          </cell>
        </row>
        <row r="160">
          <cell r="A160">
            <v>39325</v>
          </cell>
          <cell r="B160">
            <v>202278.57970665998</v>
          </cell>
          <cell r="C160">
            <v>0.6699919884426464</v>
          </cell>
          <cell r="D160">
            <v>2.0566107072293782</v>
          </cell>
          <cell r="E160">
            <v>19.066576355930987</v>
          </cell>
        </row>
        <row r="161">
          <cell r="A161">
            <v>39355</v>
          </cell>
          <cell r="B161">
            <v>204233.17021407007</v>
          </cell>
          <cell r="C161">
            <v>0.9662864502235351</v>
          </cell>
          <cell r="D161">
            <v>1.4407282284919276</v>
          </cell>
          <cell r="E161">
            <v>17.762938152163123</v>
          </cell>
        </row>
        <row r="162">
          <cell r="A162">
            <v>39386</v>
          </cell>
          <cell r="B162">
            <v>206324.41925822003</v>
          </cell>
          <cell r="C162">
            <v>1.0239517126223916</v>
          </cell>
          <cell r="D162">
            <v>2.6835251852483699</v>
          </cell>
          <cell r="E162">
            <v>17.372455905928884</v>
          </cell>
        </row>
        <row r="163">
          <cell r="A163">
            <v>39416</v>
          </cell>
          <cell r="B163">
            <v>207504.24983186001</v>
          </cell>
          <cell r="C163">
            <v>0.57183273694975867</v>
          </cell>
          <cell r="D163">
            <v>2.5834026186945636</v>
          </cell>
          <cell r="E163">
            <v>15.741122543882691</v>
          </cell>
        </row>
        <row r="164">
          <cell r="A164">
            <v>39447</v>
          </cell>
          <cell r="B164">
            <v>213048.82130925002</v>
          </cell>
          <cell r="C164">
            <v>2.67202791358865</v>
          </cell>
          <cell r="D164">
            <v>4.3164639152101003</v>
          </cell>
          <cell r="E164">
            <v>15.363870394136892</v>
          </cell>
        </row>
        <row r="165">
          <cell r="A165">
            <v>39478</v>
          </cell>
          <cell r="B165">
            <v>211622.88182026998</v>
          </cell>
          <cell r="C165">
            <v>-0.66930174981358448</v>
          </cell>
          <cell r="D165">
            <v>2.5680249488155837</v>
          </cell>
          <cell r="E165">
            <v>13.973910934840085</v>
          </cell>
        </row>
        <row r="166">
          <cell r="A166">
            <v>39507</v>
          </cell>
          <cell r="B166">
            <v>214265.63220962996</v>
          </cell>
          <cell r="C166">
            <v>1.2488018151101841</v>
          </cell>
          <cell r="D166">
            <v>3.2584307951517566</v>
          </cell>
          <cell r="E166">
            <v>14.019209645874021</v>
          </cell>
        </row>
        <row r="167">
          <cell r="A167">
            <v>39538</v>
          </cell>
          <cell r="B167">
            <v>217416.76198303001</v>
          </cell>
          <cell r="C167">
            <v>1.4706650529549705</v>
          </cell>
          <cell r="D167">
            <v>2.0502064488963967</v>
          </cell>
          <cell r="E167">
            <v>12.607842995818919</v>
          </cell>
        </row>
        <row r="168">
          <cell r="A168">
            <v>39568</v>
          </cell>
          <cell r="B168">
            <v>218700.23962289005</v>
          </cell>
          <cell r="C168">
            <v>0.59033058360064672</v>
          </cell>
          <cell r="D168">
            <v>3.3443254064703831</v>
          </cell>
          <cell r="E168">
            <v>11.75615566750583</v>
          </cell>
        </row>
        <row r="169">
          <cell r="A169">
            <v>39599</v>
          </cell>
          <cell r="B169">
            <v>220026.91994610004</v>
          </cell>
          <cell r="C169">
            <v>0.60662042506108094</v>
          </cell>
          <cell r="D169">
            <v>2.6888529331822397</v>
          </cell>
          <cell r="E169">
            <v>11.011268452714585</v>
          </cell>
        </row>
        <row r="170">
          <cell r="A170">
            <v>39629</v>
          </cell>
          <cell r="B170">
            <v>222773.89617345002</v>
          </cell>
          <cell r="C170">
            <v>1.2484727905216744</v>
          </cell>
          <cell r="D170">
            <v>2.463993181371249</v>
          </cell>
          <cell r="E170">
            <v>10.649735468760667</v>
          </cell>
        </row>
        <row r="171">
          <cell r="A171">
            <v>39660</v>
          </cell>
          <cell r="B171">
            <v>224161.79675575002</v>
          </cell>
          <cell r="C171">
            <v>0.62300862270659252</v>
          </cell>
          <cell r="D171">
            <v>2.4972799034319593</v>
          </cell>
          <cell r="E171">
            <v>11.560830198835269</v>
          </cell>
        </row>
        <row r="172">
          <cell r="A172">
            <v>39691</v>
          </cell>
          <cell r="B172">
            <v>225517.94753412998</v>
          </cell>
          <cell r="C172">
            <v>0.60498746798396041</v>
          </cell>
          <cell r="D172">
            <v>2.4956162588537278</v>
          </cell>
          <cell r="E172">
            <v>11.488793257877949</v>
          </cell>
        </row>
        <row r="173">
          <cell r="A173">
            <v>39721</v>
          </cell>
          <cell r="B173">
            <v>227093.02698750005</v>
          </cell>
          <cell r="C173">
            <v>0.69842754006606356</v>
          </cell>
          <cell r="D173">
            <v>1.938795742337418</v>
          </cell>
          <cell r="E173">
            <v>11.193018621543738</v>
          </cell>
        </row>
        <row r="174">
          <cell r="A174">
            <v>39752</v>
          </cell>
          <cell r="B174">
            <v>231490.63286513003</v>
          </cell>
          <cell r="C174">
            <v>1.9364777227933274</v>
          </cell>
          <cell r="D174">
            <v>3.2694402951122026</v>
          </cell>
          <cell r="E174">
            <v>12.197399463130854</v>
          </cell>
        </row>
        <row r="175">
          <cell r="A175">
            <v>39782</v>
          </cell>
          <cell r="B175">
            <v>231072.9694346</v>
          </cell>
          <cell r="C175">
            <v>-0.18042346913162532</v>
          </cell>
          <cell r="D175">
            <v>2.4632282978849451</v>
          </cell>
          <cell r="E175">
            <v>11.358186457307573</v>
          </cell>
        </row>
        <row r="176">
          <cell r="A176">
            <v>39813</v>
          </cell>
          <cell r="B176">
            <v>235839.98570525995</v>
          </cell>
          <cell r="C176">
            <v>2.0629917390701848</v>
          </cell>
          <cell r="D176">
            <v>3.8517073085829967</v>
          </cell>
          <cell r="E176">
            <v>10.697625199684868</v>
          </cell>
        </row>
        <row r="177">
          <cell r="A177">
            <v>39844</v>
          </cell>
          <cell r="B177">
            <v>237349.40663494999</v>
          </cell>
          <cell r="C177">
            <v>0.64001908971297894</v>
          </cell>
          <cell r="D177">
            <v>2.5308902124058674</v>
          </cell>
          <cell r="E177">
            <v>12.156778413276403</v>
          </cell>
        </row>
        <row r="178">
          <cell r="A178">
            <v>39872</v>
          </cell>
          <cell r="B178">
            <v>238230.80286230001</v>
          </cell>
          <cell r="C178">
            <v>0.37134966539251479</v>
          </cell>
          <cell r="D178">
            <v>3.0976506880982857</v>
          </cell>
          <cell r="E178">
            <v>11.184794502752249</v>
          </cell>
        </row>
        <row r="179">
          <cell r="A179">
            <v>39903</v>
          </cell>
          <cell r="B179">
            <v>237814.46039056004</v>
          </cell>
          <cell r="C179">
            <v>-0.17476433220964793</v>
          </cell>
          <cell r="D179">
            <v>0.83720946615375436</v>
          </cell>
          <cell r="E179">
            <v>9.3818426056414772</v>
          </cell>
        </row>
        <row r="180">
          <cell r="A180">
            <v>39933</v>
          </cell>
          <cell r="B180">
            <v>237269.01892473997</v>
          </cell>
          <cell r="C180">
            <v>-0.22935588732674717</v>
          </cell>
          <cell r="D180">
            <v>-3.3868932452674194E-2</v>
          </cell>
          <cell r="E180">
            <v>8.4905162124506504</v>
          </cell>
        </row>
        <row r="181">
          <cell r="A181">
            <v>39964</v>
          </cell>
          <cell r="B181">
            <v>235111.43179204004</v>
          </cell>
          <cell r="C181">
            <v>-0.90934212248936319</v>
          </cell>
          <cell r="D181">
            <v>-1.3093903192959555</v>
          </cell>
          <cell r="E181">
            <v>6.8557573998832666</v>
          </cell>
        </row>
        <row r="182">
          <cell r="A182">
            <v>39994</v>
          </cell>
          <cell r="B182">
            <v>233645.10274710998</v>
          </cell>
          <cell r="C182">
            <v>-0.6236740739289246</v>
          </cell>
          <cell r="D182">
            <v>-1.7531976973152785</v>
          </cell>
          <cell r="E182">
            <v>4.879928375986986</v>
          </cell>
        </row>
        <row r="183">
          <cell r="A183">
            <v>40025</v>
          </cell>
          <cell r="B183">
            <v>234099.11448016</v>
          </cell>
          <cell r="C183">
            <v>0.19431681970300474</v>
          </cell>
          <cell r="D183">
            <v>-1.3359959336222693</v>
          </cell>
          <cell r="E183">
            <v>4.4331004962624432</v>
          </cell>
        </row>
        <row r="184">
          <cell r="A184">
            <v>40056</v>
          </cell>
          <cell r="B184">
            <v>233138.64648825998</v>
          </cell>
          <cell r="C184">
            <v>-0.41028262496115531</v>
          </cell>
          <cell r="D184">
            <v>-0.83908523236974064</v>
          </cell>
          <cell r="E184">
            <v>3.3791984351829285</v>
          </cell>
        </row>
        <row r="185">
          <cell r="A185">
            <v>40086</v>
          </cell>
          <cell r="B185">
            <v>231634.00295251998</v>
          </cell>
          <cell r="C185">
            <v>-0.64538572150276252</v>
          </cell>
          <cell r="D185">
            <v>-0.86074981711332654</v>
          </cell>
          <cell r="E185">
            <v>1.999610479131908</v>
          </cell>
        </row>
        <row r="186">
          <cell r="A186">
            <v>40117</v>
          </cell>
          <cell r="B186">
            <v>230700.90783293993</v>
          </cell>
          <cell r="C186">
            <v>-0.40283166879056864</v>
          </cell>
          <cell r="D186">
            <v>-1.4516102099600525</v>
          </cell>
          <cell r="E186">
            <v>-0.34114772697960705</v>
          </cell>
        </row>
        <row r="187">
          <cell r="A187">
            <v>40147</v>
          </cell>
          <cell r="B187">
            <v>234240.13291235999</v>
          </cell>
          <cell r="C187">
            <v>1.5341184014685041</v>
          </cell>
          <cell r="D187">
            <v>0.47245981766281808</v>
          </cell>
          <cell r="E187">
            <v>1.3706334780348994</v>
          </cell>
        </row>
        <row r="188">
          <cell r="A188">
            <v>40178</v>
          </cell>
          <cell r="B188">
            <v>234506.41853917998</v>
          </cell>
          <cell r="C188">
            <v>0.11368061634409798</v>
          </cell>
          <cell r="D188">
            <v>1.2400664626293079</v>
          </cell>
          <cell r="E188">
            <v>-0.56545422613220042</v>
          </cell>
        </row>
        <row r="189">
          <cell r="A189">
            <v>40209</v>
          </cell>
          <cell r="B189">
            <v>235916.26334584996</v>
          </cell>
          <cell r="C189">
            <v>0.60119668171658702</v>
          </cell>
          <cell r="D189">
            <v>2.2606566926414828</v>
          </cell>
          <cell r="E189">
            <v>-0.60381161656083426</v>
          </cell>
        </row>
        <row r="190">
          <cell r="A190">
            <v>40237</v>
          </cell>
          <cell r="B190">
            <v>235527.85680408002</v>
          </cell>
          <cell r="C190">
            <v>-0.16463745918208872</v>
          </cell>
          <cell r="D190">
            <v>0.54974520194701615</v>
          </cell>
          <cell r="E190">
            <v>-1.1345913398874474</v>
          </cell>
        </row>
        <row r="191">
          <cell r="A191">
            <v>40268</v>
          </cell>
          <cell r="B191">
            <v>236694.74575997997</v>
          </cell>
          <cell r="C191">
            <v>0.49543564474015511</v>
          </cell>
          <cell r="D191">
            <v>0.93316303853507865</v>
          </cell>
          <cell r="E191">
            <v>-0.47083538517429524</v>
          </cell>
        </row>
        <row r="192">
          <cell r="A192">
            <v>40298</v>
          </cell>
          <cell r="B192">
            <v>237512.78709006001</v>
          </cell>
          <cell r="C192">
            <v>0.3456102616276695</v>
          </cell>
          <cell r="D192">
            <v>0.67673322795451796</v>
          </cell>
          <cell r="E192">
            <v>0.1027391466550398</v>
          </cell>
        </row>
        <row r="193">
          <cell r="A193">
            <v>40329</v>
          </cell>
          <cell r="B193">
            <v>238788.33056197999</v>
          </cell>
          <cell r="C193">
            <v>0.53704202099919485</v>
          </cell>
          <cell r="D193">
            <v>1.3843261693720299</v>
          </cell>
          <cell r="E193">
            <v>1.5638962095183118</v>
          </cell>
        </row>
        <row r="194">
          <cell r="A194">
            <v>40359</v>
          </cell>
          <cell r="B194">
            <v>240798.96383993002</v>
          </cell>
          <cell r="C194">
            <v>0.84201488122054968</v>
          </cell>
          <cell r="D194">
            <v>1.7339709281556814</v>
          </cell>
          <cell r="E194">
            <v>3.0618493641457301</v>
          </cell>
        </row>
        <row r="195">
          <cell r="A195">
            <v>40390</v>
          </cell>
          <cell r="B195">
            <v>242230.41936746999</v>
          </cell>
          <cell r="C195">
            <v>0.59446083351568291</v>
          </cell>
          <cell r="D195">
            <v>1.9862645439890247</v>
          </cell>
          <cell r="E195">
            <v>3.4734453846040125</v>
          </cell>
        </row>
        <row r="196">
          <cell r="A196">
            <v>40421</v>
          </cell>
          <cell r="B196">
            <v>243741.78857297002</v>
          </cell>
          <cell r="C196">
            <v>0.62393864876536043</v>
          </cell>
          <cell r="D196">
            <v>2.0744137702760623</v>
          </cell>
          <cell r="E196">
            <v>4.5479984740513402</v>
          </cell>
        </row>
        <row r="197">
          <cell r="A197">
            <v>40451</v>
          </cell>
          <cell r="B197">
            <v>243707.21540274</v>
          </cell>
          <cell r="C197">
            <v>-1.41843425505499E-2</v>
          </cell>
          <cell r="D197">
            <v>1.2077508625590427</v>
          </cell>
          <cell r="E197">
            <v>5.2121935019595389</v>
          </cell>
        </row>
        <row r="198">
          <cell r="A198">
            <v>40482</v>
          </cell>
          <cell r="B198">
            <v>244057.40661780999</v>
          </cell>
          <cell r="C198">
            <v>0.14369341280735171</v>
          </cell>
          <cell r="D198">
            <v>0.75423526702829147</v>
          </cell>
          <cell r="E198">
            <v>5.7895302234970192</v>
          </cell>
        </row>
        <row r="199">
          <cell r="A199">
            <v>40512</v>
          </cell>
          <cell r="B199">
            <v>249025.72573925002</v>
          </cell>
          <cell r="C199">
            <v>2.0357174118548045</v>
          </cell>
          <cell r="D199">
            <v>2.1678421239196499</v>
          </cell>
          <cell r="E199">
            <v>6.3121518260160769</v>
          </cell>
        </row>
        <row r="200">
          <cell r="A200">
            <v>40543</v>
          </cell>
          <cell r="B200">
            <v>245564.28131550999</v>
          </cell>
          <cell r="C200">
            <v>-1.3899947137848727</v>
          </cell>
          <cell r="D200">
            <v>0.76200694743528974</v>
          </cell>
          <cell r="E200">
            <v>4.7153774490323874</v>
          </cell>
        </row>
        <row r="201">
          <cell r="A201">
            <v>40574</v>
          </cell>
          <cell r="B201">
            <v>244330.29991693003</v>
          </cell>
          <cell r="C201">
            <v>-0.50250850488899346</v>
          </cell>
          <cell r="D201">
            <v>0.11181520893048802</v>
          </cell>
          <cell r="E201">
            <v>3.566535198442522</v>
          </cell>
        </row>
        <row r="202">
          <cell r="A202">
            <v>40602</v>
          </cell>
          <cell r="B202">
            <v>245530.15270945997</v>
          </cell>
          <cell r="C202">
            <v>0.49107818102702083</v>
          </cell>
          <cell r="D202">
            <v>-1.4036995653413653</v>
          </cell>
          <cell r="E202">
            <v>4.2467570677638289</v>
          </cell>
        </row>
        <row r="203">
          <cell r="A203">
            <v>40633</v>
          </cell>
          <cell r="B203">
            <v>245410.84164097</v>
          </cell>
          <cell r="C203">
            <v>-4.8593244932789048E-2</v>
          </cell>
          <cell r="D203">
            <v>-6.2484524914618866E-2</v>
          </cell>
          <cell r="E203">
            <v>3.6824205171958502</v>
          </cell>
        </row>
        <row r="204">
          <cell r="A204">
            <v>40663</v>
          </cell>
          <cell r="B204">
            <v>246972.40726370001</v>
          </cell>
          <cell r="C204">
            <v>0.63630669789827721</v>
          </cell>
          <cell r="D204">
            <v>1.0813670460308344</v>
          </cell>
          <cell r="E204">
            <v>3.9827835332727268</v>
          </cell>
        </row>
        <row r="205">
          <cell r="A205">
            <v>40694</v>
          </cell>
          <cell r="B205">
            <v>251213.11666659999</v>
          </cell>
          <cell r="C205">
            <v>1.7170782152890638</v>
          </cell>
          <cell r="D205">
            <v>2.3145686566100832</v>
          </cell>
          <cell r="E205">
            <v>5.2032635243852488</v>
          </cell>
        </row>
        <row r="206">
          <cell r="A206">
            <v>40724</v>
          </cell>
          <cell r="B206">
            <v>250395.08081639002</v>
          </cell>
          <cell r="C206">
            <v>-0.32563421093001921</v>
          </cell>
          <cell r="D206">
            <v>2.0309775811420128</v>
          </cell>
          <cell r="E206">
            <v>3.9851155600648669</v>
          </cell>
        </row>
        <row r="207">
          <cell r="A207">
            <v>40755</v>
          </cell>
          <cell r="B207">
            <v>255323.10229062999</v>
          </cell>
          <cell r="C207">
            <v>1.9680983580718134</v>
          </cell>
          <cell r="D207">
            <v>3.3812259108013221</v>
          </cell>
          <cell r="E207">
            <v>5.4050531544917346</v>
          </cell>
        </row>
        <row r="208">
          <cell r="A208">
            <v>40786</v>
          </cell>
          <cell r="B208">
            <v>254265.52578881002</v>
          </cell>
          <cell r="C208">
            <v>-0.41421104958068611</v>
          </cell>
          <cell r="D208">
            <v>1.215067573983819</v>
          </cell>
          <cell r="E208">
            <v>4.3175761027491877</v>
          </cell>
        </row>
        <row r="209">
          <cell r="A209">
            <v>40816</v>
          </cell>
          <cell r="B209">
            <v>254016.78641058004</v>
          </cell>
          <cell r="C209">
            <v>-9.7826623353014952E-2</v>
          </cell>
          <cell r="D209">
            <v>1.4463964636932003</v>
          </cell>
          <cell r="E209">
            <v>4.2303101247137542</v>
          </cell>
        </row>
        <row r="210">
          <cell r="A210">
            <v>40847</v>
          </cell>
          <cell r="B210">
            <v>254277.55306740999</v>
          </cell>
          <cell r="C210">
            <v>0.10265725368576284</v>
          </cell>
          <cell r="D210">
            <v>-0.40950043840133343</v>
          </cell>
          <cell r="E210">
            <v>4.1875993813228485</v>
          </cell>
        </row>
        <row r="211">
          <cell r="A211">
            <v>40877</v>
          </cell>
          <cell r="B211">
            <v>254761.74173586999</v>
          </cell>
          <cell r="C211">
            <v>0.1904173854982929</v>
          </cell>
          <cell r="D211">
            <v>0.19515659683733144</v>
          </cell>
          <cell r="E211">
            <v>2.3033829053573429</v>
          </cell>
        </row>
        <row r="212">
          <cell r="A212">
            <v>40908</v>
          </cell>
          <cell r="B212">
            <v>257362.60917693001</v>
          </cell>
          <cell r="C212">
            <v>1.0209018918376387</v>
          </cell>
          <cell r="D212">
            <v>1.317166008447157</v>
          </cell>
          <cell r="E212">
            <v>4.8045781732649839</v>
          </cell>
        </row>
        <row r="213">
          <cell r="A213">
            <v>40939</v>
          </cell>
          <cell r="B213">
            <v>258325.70445654998</v>
          </cell>
          <cell r="C213">
            <v>0.37421725040015019</v>
          </cell>
          <cell r="D213">
            <v>1.592020742808864</v>
          </cell>
          <cell r="E213">
            <v>5.7280675153176919</v>
          </cell>
        </row>
        <row r="214">
          <cell r="A214">
            <v>40968</v>
          </cell>
          <cell r="B214">
            <v>259505.06119956003</v>
          </cell>
          <cell r="C214">
            <v>0.45653867294821282</v>
          </cell>
          <cell r="D214">
            <v>1.8618649061552528</v>
          </cell>
          <cell r="E214">
            <v>5.691728016247688</v>
          </cell>
        </row>
        <row r="215">
          <cell r="A215">
            <v>40999</v>
          </cell>
          <cell r="B215">
            <v>257954.30747948005</v>
          </cell>
          <cell r="C215">
            <v>-0.59758130069280924</v>
          </cell>
          <cell r="D215">
            <v>0.22990841771550752</v>
          </cell>
          <cell r="E215">
            <v>5.1112109614378065</v>
          </cell>
        </row>
        <row r="216">
          <cell r="A216">
            <v>41029</v>
          </cell>
          <cell r="B216">
            <v>256428.31861709998</v>
          </cell>
          <cell r="C216">
            <v>-0.59157332059727707</v>
          </cell>
          <cell r="D216">
            <v>-0.73449362828279519</v>
          </cell>
          <cell r="E216">
            <v>3.8287319049790103</v>
          </cell>
        </row>
        <row r="217">
          <cell r="A217">
            <v>41060</v>
          </cell>
          <cell r="B217">
            <v>253061.39626552997</v>
          </cell>
          <cell r="C217">
            <v>-1.313007225460737</v>
          </cell>
          <cell r="D217">
            <v>-2.4830594456402011</v>
          </cell>
          <cell r="E217">
            <v>0.73574167760632747</v>
          </cell>
        </row>
        <row r="218">
          <cell r="A218">
            <v>41090</v>
          </cell>
          <cell r="B218">
            <v>251616.54661165</v>
          </cell>
          <cell r="C218">
            <v>-0.57094826599467297</v>
          </cell>
          <cell r="D218">
            <v>-2.4569315898453126</v>
          </cell>
          <cell r="E218">
            <v>0.48781541205902279</v>
          </cell>
        </row>
        <row r="219">
          <cell r="A219">
            <v>41121</v>
          </cell>
          <cell r="B219">
            <v>252262.02902683997</v>
          </cell>
          <cell r="C219">
            <v>0.25653416831374898</v>
          </cell>
          <cell r="D219">
            <v>-1.6247384893870231</v>
          </cell>
          <cell r="E219">
            <v>-1.1989017978896621</v>
          </cell>
        </row>
        <row r="220">
          <cell r="A220">
            <v>41152</v>
          </cell>
          <cell r="B220">
            <v>249702.93543108</v>
          </cell>
          <cell r="C220">
            <v>-1.014458500009809</v>
          </cell>
          <cell r="D220">
            <v>-1.3271328159930151</v>
          </cell>
          <cell r="E220">
            <v>-1.7944195712633282</v>
          </cell>
        </row>
        <row r="221">
          <cell r="A221">
            <v>41182</v>
          </cell>
          <cell r="B221">
            <v>247717.48948475</v>
          </cell>
          <cell r="C221">
            <v>-0.79512319024300382</v>
          </cell>
          <cell r="D221">
            <v>-1.5496028299434084</v>
          </cell>
          <cell r="E221">
            <v>-2.4798742692729636</v>
          </cell>
        </row>
        <row r="222">
          <cell r="A222">
            <v>41213</v>
          </cell>
          <cell r="B222">
            <v>248400.26278022001</v>
          </cell>
          <cell r="C222">
            <v>0.27562579327369008</v>
          </cell>
          <cell r="D222">
            <v>-1.5308551435654572</v>
          </cell>
          <cell r="E222">
            <v>-2.3113681157816868</v>
          </cell>
        </row>
        <row r="223">
          <cell r="A223">
            <v>41243</v>
          </cell>
          <cell r="B223">
            <v>247447.05572110001</v>
          </cell>
          <cell r="C223">
            <v>-0.38373834570512599</v>
          </cell>
          <cell r="D223">
            <v>-0.90342538668417571</v>
          </cell>
          <cell r="E223">
            <v>-2.8711870019924923</v>
          </cell>
        </row>
        <row r="224">
          <cell r="A224">
            <v>41274</v>
          </cell>
          <cell r="B224">
            <v>242086.52385029002</v>
          </cell>
          <cell r="C224">
            <v>-2.1663348772482038</v>
          </cell>
          <cell r="D224">
            <v>-2.2731401186780742</v>
          </cell>
          <cell r="E224">
            <v>-5.9356273141208611</v>
          </cell>
        </row>
        <row r="225">
          <cell r="A225">
            <v>41305</v>
          </cell>
          <cell r="B225">
            <v>241995.46387116998</v>
          </cell>
          <cell r="C225">
            <v>-3.7614641935363125E-2</v>
          </cell>
          <cell r="D225">
            <v>-2.5784187332832609</v>
          </cell>
          <cell r="E225">
            <v>-6.3215701355521574</v>
          </cell>
        </row>
        <row r="226">
          <cell r="A226">
            <v>41333</v>
          </cell>
          <cell r="B226">
            <v>242412.71280805997</v>
          </cell>
          <cell r="C226">
            <v>0.17242014797108141</v>
          </cell>
          <cell r="D226">
            <v>-2.0345131601461897</v>
          </cell>
          <cell r="E226">
            <v>-6.5865183177895803</v>
          </cell>
        </row>
        <row r="227">
          <cell r="A227">
            <v>41364</v>
          </cell>
          <cell r="B227">
            <v>243195.09142049</v>
          </cell>
          <cell r="C227">
            <v>0.32274652734467679</v>
          </cell>
          <cell r="D227">
            <v>0.4579220489305369</v>
          </cell>
          <cell r="E227">
            <v>-5.7216396978228889</v>
          </cell>
        </row>
        <row r="228">
          <cell r="A228">
            <v>41394</v>
          </cell>
          <cell r="B228">
            <v>245141.70736683998</v>
          </cell>
          <cell r="C228">
            <v>0.80043389649844698</v>
          </cell>
          <cell r="D228">
            <v>1.3001249880224774</v>
          </cell>
          <cell r="E228">
            <v>-4.4014683366984997</v>
          </cell>
        </row>
        <row r="229">
          <cell r="A229">
            <v>41425</v>
          </cell>
          <cell r="B229">
            <v>243780.45908822</v>
          </cell>
          <cell r="C229">
            <v>-0.55529036378251817</v>
          </cell>
          <cell r="D229">
            <v>0.56422217478462322</v>
          </cell>
          <cell r="E229">
            <v>-3.6674646209458817</v>
          </cell>
        </row>
        <row r="230">
          <cell r="A230">
            <v>41455</v>
          </cell>
          <cell r="B230">
            <v>242540.82023115005</v>
          </cell>
          <cell r="C230">
            <v>-0.50850624439154046</v>
          </cell>
          <cell r="D230">
            <v>-0.26903141240162132</v>
          </cell>
          <cell r="E230">
            <v>-3.6069672295866995</v>
          </cell>
        </row>
        <row r="231">
          <cell r="A231">
            <v>41486</v>
          </cell>
          <cell r="B231">
            <v>243093.15648506006</v>
          </cell>
          <cell r="C231">
            <v>0.22772919353681687</v>
          </cell>
          <cell r="D231">
            <v>-0.83565987354179416</v>
          </cell>
          <cell r="E231">
            <v>-3.6346621713743366</v>
          </cell>
        </row>
        <row r="232">
          <cell r="A232">
            <v>41517</v>
          </cell>
          <cell r="B232">
            <v>243477.92567435995</v>
          </cell>
          <cell r="C232">
            <v>0.15828055172895006</v>
          </cell>
          <cell r="D232">
            <v>-0.12410076467637143</v>
          </cell>
          <cell r="E232">
            <v>-2.4929661903947409</v>
          </cell>
        </row>
        <row r="233">
          <cell r="A233">
            <v>41547</v>
          </cell>
          <cell r="B233">
            <v>243989.37015070999</v>
          </cell>
          <cell r="C233">
            <v>0.21005784197211597</v>
          </cell>
          <cell r="D233">
            <v>0.59723963915823131</v>
          </cell>
          <cell r="E233">
            <v>-1.5049883404657738</v>
          </cell>
        </row>
        <row r="234">
          <cell r="A234">
            <v>41578</v>
          </cell>
          <cell r="B234">
            <v>241532.41909104999</v>
          </cell>
          <cell r="C234">
            <v>-1.0069910251181682</v>
          </cell>
          <cell r="D234">
            <v>-0.64203263332343052</v>
          </cell>
          <cell r="E234">
            <v>-2.7648294781582261</v>
          </cell>
        </row>
        <row r="235">
          <cell r="A235">
            <v>41608</v>
          </cell>
          <cell r="B235">
            <v>242420.32261900997</v>
          </cell>
          <cell r="C235">
            <v>0.36761256782892815</v>
          </cell>
          <cell r="D235">
            <v>-0.43437328144666498</v>
          </cell>
          <cell r="E235">
            <v>-2.0314378311923509</v>
          </cell>
        </row>
        <row r="236">
          <cell r="A236">
            <v>41639</v>
          </cell>
          <cell r="B236">
            <v>240772.82372453998</v>
          </cell>
          <cell r="C236">
            <v>-0.67960428262411199</v>
          </cell>
          <cell r="D236">
            <v>-1.3183141643355989</v>
          </cell>
          <cell r="E236">
            <v>-0.54265727181180834</v>
          </cell>
        </row>
        <row r="237">
          <cell r="A237">
            <v>41670</v>
          </cell>
          <cell r="B237">
            <v>240117.23195635001</v>
          </cell>
          <cell r="C237">
            <v>-0.27228644746884356</v>
          </cell>
          <cell r="D237">
            <v>-0.585920159300235</v>
          </cell>
          <cell r="E237">
            <v>-0.77614343871332814</v>
          </cell>
        </row>
        <row r="238">
          <cell r="A238">
            <v>41698</v>
          </cell>
          <cell r="B238">
            <v>240565.02837418002</v>
          </cell>
          <cell r="C238">
            <v>0.18649074628322637</v>
          </cell>
          <cell r="D238">
            <v>-0.76532125062209744</v>
          </cell>
          <cell r="E238">
            <v>-0.76220607924259998</v>
          </cell>
        </row>
        <row r="239">
          <cell r="A239">
            <v>41729</v>
          </cell>
          <cell r="B239">
            <v>240871.44760956999</v>
          </cell>
          <cell r="C239">
            <v>0.12737480483380637</v>
          </cell>
          <cell r="D239">
            <v>4.0961385718030208E-2</v>
          </cell>
          <cell r="E239">
            <v>-0.95546493037657054</v>
          </cell>
        </row>
        <row r="240">
          <cell r="A240">
            <v>41759</v>
          </cell>
          <cell r="B240">
            <v>239902.52046827998</v>
          </cell>
          <cell r="C240">
            <v>-0.4022590269231614</v>
          </cell>
          <cell r="D240">
            <v>-8.9419441628857399E-2</v>
          </cell>
          <cell r="E240">
            <v>-2.1372074767839755</v>
          </cell>
        </row>
        <row r="241">
          <cell r="A241">
            <v>41790</v>
          </cell>
          <cell r="B241">
            <v>239249.97629805002</v>
          </cell>
          <cell r="C241">
            <v>-0.27200388264209607</v>
          </cell>
          <cell r="D241">
            <v>-0.54665139194070012</v>
          </cell>
          <cell r="E241">
            <v>-1.8584273764659986</v>
          </cell>
        </row>
        <row r="242">
          <cell r="A242">
            <v>41820</v>
          </cell>
          <cell r="B242">
            <v>238577.29184224003</v>
          </cell>
          <cell r="C242">
            <v>-0.28116385473408911</v>
          </cell>
          <cell r="D242">
            <v>-0.95243989692318509</v>
          </cell>
          <cell r="E242">
            <v>-1.6341696152971874</v>
          </cell>
        </row>
        <row r="243">
          <cell r="A243">
            <v>41851</v>
          </cell>
          <cell r="B243">
            <v>239818.29314028998</v>
          </cell>
          <cell r="C243">
            <v>0.52016740087341873</v>
          </cell>
          <cell r="D243">
            <v>-3.5108980024711745E-2</v>
          </cell>
          <cell r="E243">
            <v>-1.347163939998175</v>
          </cell>
        </row>
        <row r="244">
          <cell r="A244">
            <v>41882</v>
          </cell>
          <cell r="B244">
            <v>238370.45281135003</v>
          </cell>
          <cell r="C244">
            <v>-0.6037238902759583</v>
          </cell>
          <cell r="D244">
            <v>-0.36761695875962008</v>
          </cell>
          <cell r="E244">
            <v>-2.0977149566490549</v>
          </cell>
        </row>
        <row r="245">
          <cell r="A245">
            <v>41912</v>
          </cell>
          <cell r="B245">
            <v>238024.74387739002</v>
          </cell>
          <cell r="C245">
            <v>-0.14503011169493618</v>
          </cell>
          <cell r="D245">
            <v>-0.23160123940688671</v>
          </cell>
          <cell r="E245">
            <v>-2.4446254644764576</v>
          </cell>
        </row>
        <row r="246">
          <cell r="A246">
            <v>41943</v>
          </cell>
          <cell r="B246">
            <v>238142.43455630998</v>
          </cell>
          <cell r="C246">
            <v>4.9444724528541428E-2</v>
          </cell>
          <cell r="D246">
            <v>-0.69880348243478441</v>
          </cell>
          <cell r="E246">
            <v>-1.4035318933571794</v>
          </cell>
        </row>
        <row r="247">
          <cell r="A247">
            <v>41973</v>
          </cell>
          <cell r="B247">
            <v>238298.23753721997</v>
          </cell>
          <cell r="C247">
            <v>6.5424283244723824E-2</v>
          </cell>
          <cell r="D247">
            <v>-3.0295396630897198E-2</v>
          </cell>
          <cell r="E247">
            <v>-1.7003875901395848</v>
          </cell>
        </row>
        <row r="248">
          <cell r="A248">
            <v>42004</v>
          </cell>
          <cell r="B248">
            <v>237004.6446495</v>
          </cell>
          <cell r="C248">
            <v>-0.54284618345863578</v>
          </cell>
          <cell r="D248">
            <v>-0.42856856445794289</v>
          </cell>
          <cell r="E248">
            <v>-1.5650350470412855</v>
          </cell>
        </row>
        <row r="249">
          <cell r="A249">
            <v>42035</v>
          </cell>
          <cell r="B249">
            <v>240444.14436140002</v>
          </cell>
          <cell r="C249">
            <v>1.4512372603442429</v>
          </cell>
          <cell r="D249">
            <v>0.96652652828481678</v>
          </cell>
          <cell r="E249">
            <v>0.13614699885822201</v>
          </cell>
        </row>
        <row r="250">
          <cell r="A250">
            <v>42063</v>
          </cell>
          <cell r="B250">
            <v>239645.93966647002</v>
          </cell>
          <cell r="C250">
            <v>-0.3319709436260041</v>
          </cell>
          <cell r="D250">
            <v>0.56555270537388402</v>
          </cell>
          <cell r="E250">
            <v>-0.38205416386642987</v>
          </cell>
        </row>
        <row r="251">
          <cell r="A251">
            <v>42094</v>
          </cell>
          <cell r="B251">
            <v>239291.98593047998</v>
          </cell>
          <cell r="C251">
            <v>-0.1476986159175766</v>
          </cell>
          <cell r="D251">
            <v>0.96510398957061483</v>
          </cell>
          <cell r="E251">
            <v>-0.65572806356449798</v>
          </cell>
        </row>
        <row r="252">
          <cell r="A252">
            <v>42124</v>
          </cell>
          <cell r="B252">
            <v>238173.55021122002</v>
          </cell>
          <cell r="C252">
            <v>-0.46739372190461381</v>
          </cell>
          <cell r="D252">
            <v>-0.94433331126050346</v>
          </cell>
          <cell r="E252">
            <v>-0.72069699546510879</v>
          </cell>
        </row>
        <row r="253">
          <cell r="A253">
            <v>42155</v>
          </cell>
          <cell r="B253">
            <v>238230.30322091002</v>
          </cell>
          <cell r="C253">
            <v>2.3828426640861267E-2</v>
          </cell>
          <cell r="D253">
            <v>-0.59071997945394639</v>
          </cell>
          <cell r="E253">
            <v>-0.4261956857499194</v>
          </cell>
        </row>
        <row r="254">
          <cell r="A254">
            <v>42185</v>
          </cell>
          <cell r="B254">
            <v>236607.35883418002</v>
          </cell>
          <cell r="C254">
            <v>-0.68125018722956554</v>
          </cell>
          <cell r="D254">
            <v>-1.1219043069331636</v>
          </cell>
          <cell r="E254">
            <v>-0.82570012965132999</v>
          </cell>
        </row>
        <row r="255">
          <cell r="A255">
            <v>42216</v>
          </cell>
          <cell r="B255">
            <v>236160.92134126998</v>
          </cell>
          <cell r="C255">
            <v>-0.18868284364008048</v>
          </cell>
          <cell r="D255">
            <v>-0.84502618706618904</v>
          </cell>
          <cell r="E255">
            <v>-1.5250595570207359</v>
          </cell>
        </row>
        <row r="256">
          <cell r="A256">
            <v>42247</v>
          </cell>
          <cell r="B256">
            <v>233638.78532566002</v>
          </cell>
          <cell r="C256">
            <v>-1.0679734823549722</v>
          </cell>
          <cell r="D256">
            <v>-1.9273441846700323</v>
          </cell>
          <cell r="E256">
            <v>-1.9850058721139874</v>
          </cell>
        </row>
        <row r="257">
          <cell r="A257">
            <v>42277</v>
          </cell>
          <cell r="B257">
            <v>233731.68900117002</v>
          </cell>
          <cell r="C257">
            <v>3.9763806929784096E-2</v>
          </cell>
          <cell r="D257">
            <v>-1.2153763294510789</v>
          </cell>
          <cell r="E257">
            <v>-1.8036170552215403</v>
          </cell>
        </row>
        <row r="258">
          <cell r="A258">
            <v>42308</v>
          </cell>
          <cell r="B258">
            <v>231652.81841213</v>
          </cell>
          <cell r="C258">
            <v>-0.88942607565275011</v>
          </cell>
          <cell r="D258">
            <v>-1.9089114759276549</v>
          </cell>
          <cell r="E258">
            <v>-2.7250985975141195</v>
          </cell>
        </row>
        <row r="259">
          <cell r="A259">
            <v>42338</v>
          </cell>
          <cell r="B259">
            <v>231874.47225332999</v>
          </cell>
          <cell r="C259">
            <v>9.5683636710887754E-2</v>
          </cell>
          <cell r="D259">
            <v>-0.75514562784206873</v>
          </cell>
          <cell r="E259">
            <v>-2.6956830861523451</v>
          </cell>
        </row>
        <row r="260">
          <cell r="A260">
            <v>42369</v>
          </cell>
          <cell r="B260">
            <v>230005.05094996997</v>
          </cell>
          <cell r="C260">
            <v>-0.80622126497721069</v>
          </cell>
          <cell r="D260">
            <v>-1.5944085575753442</v>
          </cell>
          <cell r="E260">
            <v>-2.953357184152039</v>
          </cell>
        </row>
        <row r="261">
          <cell r="A261">
            <v>42400</v>
          </cell>
          <cell r="B261">
            <v>227638.58219734003</v>
          </cell>
          <cell r="C261">
            <v>-1.0288768628584108</v>
          </cell>
          <cell r="D261">
            <v>-1.7328674187111814</v>
          </cell>
          <cell r="E261">
            <v>-5.3257949774865647</v>
          </cell>
        </row>
        <row r="262">
          <cell r="A262">
            <v>42429</v>
          </cell>
          <cell r="B262">
            <v>226498.74886591002</v>
          </cell>
          <cell r="C262">
            <v>-0.50072062496062131</v>
          </cell>
          <cell r="D262">
            <v>-2.3183765488194119</v>
          </cell>
          <cell r="E262">
            <v>-5.4860895281003907</v>
          </cell>
        </row>
        <row r="263">
          <cell r="A263">
            <v>42460</v>
          </cell>
          <cell r="B263">
            <v>224752.25546824001</v>
          </cell>
          <cell r="C263">
            <v>-0.77108302205411405</v>
          </cell>
          <cell r="D263">
            <v>-2.2837739693257975</v>
          </cell>
          <cell r="E263">
            <v>-6.076146012873207</v>
          </cell>
        </row>
        <row r="264">
          <cell r="A264">
            <v>42490</v>
          </cell>
          <cell r="B264">
            <v>224954.34011988001</v>
          </cell>
          <cell r="C264">
            <v>8.9914404293296002E-2</v>
          </cell>
          <cell r="D264">
            <v>-1.1791683340977133</v>
          </cell>
          <cell r="E264">
            <v>-5.5502427031115626</v>
          </cell>
        </row>
        <row r="265">
          <cell r="A265">
            <v>42521</v>
          </cell>
          <cell r="B265">
            <v>225139.29528226005</v>
          </cell>
          <cell r="C265">
            <v>8.2218979318867014E-2</v>
          </cell>
          <cell r="D265">
            <v>-0.60020357306909133</v>
          </cell>
          <cell r="E265">
            <v>-5.4951061060064754</v>
          </cell>
        </row>
        <row r="266">
          <cell r="A266">
            <v>42551</v>
          </cell>
          <cell r="B266">
            <v>222930.97789621004</v>
          </cell>
          <cell r="C266">
            <v>-0.9808671486163405</v>
          </cell>
          <cell r="D266">
            <v>-0.81034896323313177</v>
          </cell>
          <cell r="E266">
            <v>-5.7802010070002519</v>
          </cell>
        </row>
        <row r="267">
          <cell r="A267">
            <v>42582</v>
          </cell>
          <cell r="B267">
            <v>222246.02100450004</v>
          </cell>
          <cell r="C267">
            <v>-0.30725065586393896</v>
          </cell>
          <cell r="D267">
            <v>-1.2039417038749667</v>
          </cell>
          <cell r="E267">
            <v>-5.892126545637022</v>
          </cell>
        </row>
        <row r="268">
          <cell r="A268">
            <v>42613</v>
          </cell>
          <cell r="B268">
            <v>221267.14775524003</v>
          </cell>
          <cell r="C268">
            <v>-0.4404457928361154</v>
          </cell>
          <cell r="D268">
            <v>-1.7198896896987503</v>
          </cell>
          <cell r="E268">
            <v>-5.2951985489804843</v>
          </cell>
        </row>
        <row r="269">
          <cell r="A269">
            <v>42643</v>
          </cell>
          <cell r="B269">
            <v>221730.14380604995</v>
          </cell>
          <cell r="C269">
            <v>0.2092475342621043</v>
          </cell>
          <cell r="D269">
            <v>-0.53865734654390263</v>
          </cell>
          <cell r="E269">
            <v>-5.1347531207289521</v>
          </cell>
        </row>
        <row r="270">
          <cell r="A270">
            <v>42674</v>
          </cell>
          <cell r="B270">
            <v>222039.86912407001</v>
          </cell>
          <cell r="C270">
            <v>0.13968570655462997</v>
          </cell>
          <cell r="D270">
            <v>-9.2758412275850688E-2</v>
          </cell>
          <cell r="E270">
            <v>-4.1497225692966655</v>
          </cell>
        </row>
        <row r="271">
          <cell r="A271">
            <v>42704</v>
          </cell>
          <cell r="B271">
            <v>222253.37180907003</v>
          </cell>
          <cell r="C271">
            <v>9.615511207165639E-2</v>
          </cell>
          <cell r="D271">
            <v>0.4457164399845448</v>
          </cell>
          <cell r="E271">
            <v>-4.1492710908463515</v>
          </cell>
        </row>
        <row r="272">
          <cell r="A272">
            <v>42735</v>
          </cell>
          <cell r="B272">
            <v>221510.95900142999</v>
          </cell>
          <cell r="C272">
            <v>-0.33403894015062008</v>
          </cell>
          <cell r="D272">
            <v>-9.8852055411857709E-2</v>
          </cell>
          <cell r="E272">
            <v>-3.6930023551472346</v>
          </cell>
        </row>
        <row r="273">
          <cell r="A273">
            <v>42766</v>
          </cell>
          <cell r="B273">
            <v>219277.93011270001</v>
          </cell>
          <cell r="C273">
            <v>-1.0080895766044478</v>
          </cell>
          <cell r="D273">
            <v>-1.2438932801868585</v>
          </cell>
          <cell r="E273">
            <v>-3.6727746254332949</v>
          </cell>
        </row>
        <row r="274">
          <cell r="A274">
            <v>42794</v>
          </cell>
          <cell r="B274">
            <v>219417.46885698999</v>
          </cell>
          <cell r="C274">
            <v>6.3635562511123567E-2</v>
          </cell>
          <cell r="D274">
            <v>-1.2759774706663451</v>
          </cell>
          <cell r="E274">
            <v>-3.1264102094940238</v>
          </cell>
        </row>
        <row r="275">
          <cell r="A275">
            <v>42825</v>
          </cell>
          <cell r="B275">
            <v>220886.56059647002</v>
          </cell>
          <cell r="C275">
            <v>0.6695418314380106</v>
          </cell>
          <cell r="D275">
            <v>-0.28188149596514167</v>
          </cell>
          <cell r="E275">
            <v>-1.7199804574669741</v>
          </cell>
        </row>
        <row r="276">
          <cell r="A276">
            <v>42855</v>
          </cell>
          <cell r="B276">
            <v>222450.85701641004</v>
          </cell>
          <cell r="C276">
            <v>0.70818994859436657</v>
          </cell>
          <cell r="D276">
            <v>1.4469887152251282</v>
          </cell>
          <cell r="E276">
            <v>-1.1128849979670785</v>
          </cell>
        </row>
        <row r="277">
          <cell r="A277">
            <v>42886</v>
          </cell>
          <cell r="B277">
            <v>219267.37138979998</v>
          </cell>
          <cell r="C277">
            <v>-1.4310961393038042</v>
          </cell>
          <cell r="D277">
            <v>-6.8407254888092073E-2</v>
          </cell>
          <cell r="E277">
            <v>-2.6081292850714255</v>
          </cell>
        </row>
        <row r="278">
          <cell r="A278">
            <v>42916</v>
          </cell>
          <cell r="B278">
            <v>219542.83548030001</v>
          </cell>
          <cell r="C278">
            <v>0.12562931217445339</v>
          </cell>
          <cell r="D278">
            <v>-0.60833267200208763</v>
          </cell>
          <cell r="E278">
            <v>-1.5198167827027764</v>
          </cell>
        </row>
        <row r="279">
          <cell r="A279">
            <v>42947</v>
          </cell>
          <cell r="B279">
            <v>219133.23707410003</v>
          </cell>
          <cell r="C279">
            <v>-0.18656878750057615</v>
          </cell>
          <cell r="D279">
            <v>-1.4913945429597786</v>
          </cell>
          <cell r="E279">
            <v>-1.4006027717980984</v>
          </cell>
        </row>
        <row r="280">
          <cell r="A280">
            <v>42978</v>
          </cell>
          <cell r="B280">
            <v>218720.39938064001</v>
          </cell>
          <cell r="C280">
            <v>-0.18839574451247643</v>
          </cell>
          <cell r="D280">
            <v>-0.24945435597328869</v>
          </cell>
          <cell r="E280">
            <v>-1.1509835058827522</v>
          </cell>
        </row>
        <row r="281">
          <cell r="A281">
            <v>43008</v>
          </cell>
          <cell r="B281">
            <v>220077.56267873</v>
          </cell>
          <cell r="C281">
            <v>0.62050147216862683</v>
          </cell>
          <cell r="D281">
            <v>0.24356394835665096</v>
          </cell>
          <cell r="E281">
            <v>-0.74531189082053251</v>
          </cell>
        </row>
        <row r="282">
          <cell r="A282">
            <v>43039</v>
          </cell>
          <cell r="B282">
            <v>219324.39791237999</v>
          </cell>
          <cell r="C282">
            <v>-0.34222696633980831</v>
          </cell>
          <cell r="D282">
            <v>8.7234981252670707E-2</v>
          </cell>
          <cell r="E282">
            <v>-1.2229655973057141</v>
          </cell>
        </row>
        <row r="283">
          <cell r="A283">
            <v>43069</v>
          </cell>
          <cell r="B283">
            <v>220904.65252402</v>
          </cell>
          <cell r="C283">
            <v>0.72051017884081148</v>
          </cell>
          <cell r="D283">
            <v>0.99865085724295533</v>
          </cell>
          <cell r="E283">
            <v>-0.60683861579776677</v>
          </cell>
        </row>
        <row r="284">
          <cell r="A284">
            <v>43100</v>
          </cell>
          <cell r="B284">
            <v>218933.26191129995</v>
          </cell>
          <cell r="C284">
            <v>-0.89241697275058129</v>
          </cell>
          <cell r="D284">
            <v>-0.51995339892986214</v>
          </cell>
          <cell r="E284">
            <v>-1.1636882896224554</v>
          </cell>
        </row>
        <row r="285">
          <cell r="A285">
            <v>43131</v>
          </cell>
          <cell r="B285">
            <v>216535.99752506003</v>
          </cell>
          <cell r="C285">
            <v>-1.0949749550669736</v>
          </cell>
          <cell r="D285">
            <v>-1.2713589613654985</v>
          </cell>
          <cell r="E285">
            <v>-1.2504370988137059</v>
          </cell>
        </row>
        <row r="286">
          <cell r="A286">
            <v>43159</v>
          </cell>
          <cell r="B286">
            <v>217293.62090855997</v>
          </cell>
          <cell r="C286">
            <v>0.34988334141175415</v>
          </cell>
          <cell r="D286">
            <v>-1.6346562076447801</v>
          </cell>
          <cell r="E286">
            <v>-0.96794843158740651</v>
          </cell>
        </row>
        <row r="287">
          <cell r="A287">
            <v>43190</v>
          </cell>
          <cell r="B287">
            <v>218884.67130105</v>
          </cell>
          <cell r="C287">
            <v>0.7322121955708667</v>
          </cell>
          <cell r="D287">
            <v>-2.2194256745533547E-2</v>
          </cell>
          <cell r="E287">
            <v>-0.90629746328352301</v>
          </cell>
        </row>
        <row r="288">
          <cell r="A288">
            <v>43220</v>
          </cell>
          <cell r="B288">
            <v>220204.97974848998</v>
          </cell>
          <cell r="C288">
            <v>0.60319822287786451</v>
          </cell>
          <cell r="D288">
            <v>1.6943982826713722</v>
          </cell>
          <cell r="E288">
            <v>-1.0096060307622889</v>
          </cell>
        </row>
        <row r="289">
          <cell r="A289">
            <v>43251</v>
          </cell>
          <cell r="B289">
            <v>221257.29664315999</v>
          </cell>
          <cell r="C289">
            <v>0.47788060736498039</v>
          </cell>
          <cell r="D289">
            <v>1.8241104906931316</v>
          </cell>
          <cell r="E289">
            <v>0.90753368398914791</v>
          </cell>
        </row>
        <row r="290">
          <cell r="A290">
            <v>43281</v>
          </cell>
          <cell r="B290">
            <v>222756.25261809002</v>
          </cell>
          <cell r="C290">
            <v>0.67747188349113685</v>
          </cell>
          <cell r="D290">
            <v>1.7687768147615524</v>
          </cell>
          <cell r="E290">
            <v>1.4636857225424516</v>
          </cell>
        </row>
        <row r="291">
          <cell r="A291">
            <v>43312</v>
          </cell>
          <cell r="B291">
            <v>221797.47989459004</v>
          </cell>
          <cell r="C291">
            <v>-0.43041338334226964</v>
          </cell>
          <cell r="D291">
            <v>0.72318988785764482</v>
          </cell>
          <cell r="E291">
            <v>1.2158095485939935</v>
          </cell>
        </row>
        <row r="292">
          <cell r="A292">
            <v>43343</v>
          </cell>
          <cell r="B292">
            <v>222168.17975778997</v>
          </cell>
          <cell r="C292">
            <v>0.16713438916262646</v>
          </cell>
          <cell r="D292">
            <v>0.41168500585047063</v>
          </cell>
          <cell r="E292">
            <v>1.5763414783957819</v>
          </cell>
        </row>
        <row r="293">
          <cell r="A293">
            <v>43373</v>
          </cell>
          <cell r="B293">
            <v>222823.54627931002</v>
          </cell>
          <cell r="C293">
            <v>0.29498667281451674</v>
          </cell>
          <cell r="D293">
            <v>3.0209549868565055E-2</v>
          </cell>
          <cell r="E293">
            <v>1.2477344655932088</v>
          </cell>
        </row>
        <row r="294">
          <cell r="A294">
            <v>43404</v>
          </cell>
          <cell r="B294">
            <v>223518.18985546002</v>
          </cell>
          <cell r="C294">
            <v>0.31174603750325502</v>
          </cell>
          <cell r="D294">
            <v>0.77580230473661693</v>
          </cell>
          <cell r="E294">
            <v>1.9121410946516981</v>
          </cell>
        </row>
        <row r="295">
          <cell r="A295">
            <v>43434</v>
          </cell>
          <cell r="B295">
            <v>224279.26683162997</v>
          </cell>
          <cell r="C295">
            <v>0.34049889928962784</v>
          </cell>
          <cell r="D295">
            <v>0.95022026833073703</v>
          </cell>
          <cell r="E295">
            <v>1.5276338769021791</v>
          </cell>
        </row>
        <row r="296">
          <cell r="A296">
            <v>43465</v>
          </cell>
          <cell r="B296">
            <v>223237.02239974999</v>
          </cell>
          <cell r="C296">
            <v>-0.46470832841735898</v>
          </cell>
          <cell r="D296">
            <v>0.18556213081792894</v>
          </cell>
          <cell r="E296">
            <v>1.9657864916815093</v>
          </cell>
        </row>
        <row r="297">
          <cell r="A297">
            <v>43496</v>
          </cell>
          <cell r="B297">
            <v>223689.16192471</v>
          </cell>
          <cell r="C297">
            <v>0.20253787660291778</v>
          </cell>
          <cell r="D297">
            <v>7.6491344780738046E-2</v>
          </cell>
          <cell r="E297">
            <v>3.3034527660104729</v>
          </cell>
        </row>
        <row r="298">
          <cell r="A298">
            <v>43524</v>
          </cell>
          <cell r="B298">
            <v>224917.20974468999</v>
          </cell>
          <cell r="C298">
            <v>0.54899746121510873</v>
          </cell>
          <cell r="D298">
            <v>0.28444132267426703</v>
          </cell>
          <cell r="E298">
            <v>3.5084273547717926</v>
          </cell>
        </row>
        <row r="299">
          <cell r="A299">
            <v>43555</v>
          </cell>
          <cell r="B299">
            <v>226585.37768973003</v>
          </cell>
          <cell r="C299">
            <v>0.74168088201594173</v>
          </cell>
          <cell r="D299">
            <v>1.4999103885126042</v>
          </cell>
          <cell r="E299">
            <v>3.5181570015419661</v>
          </cell>
        </row>
        <row r="300">
          <cell r="A300">
            <v>43585</v>
          </cell>
          <cell r="B300">
            <v>225387.88513498002</v>
          </cell>
          <cell r="C300">
            <v>-0.52849507190607881</v>
          </cell>
          <cell r="D300">
            <v>0.7594123897883831</v>
          </cell>
          <cell r="E300">
            <v>2.3536731060350036</v>
          </cell>
        </row>
        <row r="301">
          <cell r="A301">
            <v>43616</v>
          </cell>
          <cell r="B301">
            <v>226615.22400646997</v>
          </cell>
          <cell r="C301">
            <v>0.54454518296532228</v>
          </cell>
          <cell r="D301">
            <v>0.75495079443117508</v>
          </cell>
          <cell r="E301">
            <v>2.4215822233203621</v>
          </cell>
        </row>
        <row r="302">
          <cell r="A302">
            <v>43646</v>
          </cell>
          <cell r="B302">
            <v>226850.77783490001</v>
          </cell>
          <cell r="C302">
            <v>0.10394439714400505</v>
          </cell>
          <cell r="D302">
            <v>0.11713030552811254</v>
          </cell>
          <cell r="E302">
            <v>1.8381190959564142</v>
          </cell>
        </row>
        <row r="303">
          <cell r="A303">
            <v>43677</v>
          </cell>
          <cell r="B303">
            <v>225802.14648934003</v>
          </cell>
          <cell r="C303">
            <v>-0.46225705770559955</v>
          </cell>
          <cell r="D303">
            <v>0.18379929964376096</v>
          </cell>
          <cell r="E303">
            <v>1.805550990323801</v>
          </cell>
        </row>
        <row r="304">
          <cell r="A304">
            <v>43708</v>
          </cell>
          <cell r="B304">
            <v>226787.09584018998</v>
          </cell>
          <cell r="C304">
            <v>0.43620017177137527</v>
          </cell>
          <cell r="D304">
            <v>7.5843021788823961E-2</v>
          </cell>
          <cell r="E304">
            <v>2.0790178356934863</v>
          </cell>
        </row>
        <row r="305">
          <cell r="A305">
            <v>43738</v>
          </cell>
          <cell r="B305">
            <v>225243.97113145</v>
          </cell>
          <cell r="C305">
            <v>-0.68042879733658879</v>
          </cell>
          <cell r="D305">
            <v>-0.70830998191218075</v>
          </cell>
          <cell r="E305">
            <v>1.0862518313508929</v>
          </cell>
        </row>
        <row r="306">
          <cell r="A306">
            <v>43769</v>
          </cell>
          <cell r="B306">
            <v>226929.18814811003</v>
          </cell>
          <cell r="C306">
            <v>0.74817408350367032</v>
          </cell>
          <cell r="D306">
            <v>0.4991279650316427</v>
          </cell>
          <cell r="E306">
            <v>1.5260495330853274</v>
          </cell>
        </row>
        <row r="307">
          <cell r="A307">
            <v>43799</v>
          </cell>
          <cell r="B307">
            <v>228883.34041559999</v>
          </cell>
          <cell r="C307">
            <v>0.86112865578778042</v>
          </cell>
          <cell r="D307">
            <v>0.92432268584063948</v>
          </cell>
          <cell r="E307">
            <v>2.052830673566608</v>
          </cell>
        </row>
        <row r="308">
          <cell r="A308">
            <v>43830</v>
          </cell>
          <cell r="B308">
            <v>229528.06925761999</v>
          </cell>
          <cell r="C308">
            <v>0.28168447771224692</v>
          </cell>
          <cell r="D308">
            <v>1.9019812626504651</v>
          </cell>
          <cell r="E308">
            <v>2.8181019394733831</v>
          </cell>
        </row>
        <row r="309">
          <cell r="A309">
            <v>43861</v>
          </cell>
          <cell r="B309">
            <v>230119.29879691001</v>
          </cell>
          <cell r="C309">
            <v>0.25758485278173282</v>
          </cell>
          <cell r="D309">
            <v>1.4057736137133237</v>
          </cell>
          <cell r="E309">
            <v>2.8745857943552444</v>
          </cell>
        </row>
      </sheetData>
      <sheetData sheetId="2"/>
      <sheetData sheetId="3"/>
      <sheetData sheetId="4">
        <row r="2">
          <cell r="A2">
            <v>35826</v>
          </cell>
          <cell r="B2">
            <v>16.954057419264785</v>
          </cell>
          <cell r="C2"/>
        </row>
        <row r="3">
          <cell r="A3">
            <v>35854</v>
          </cell>
          <cell r="B3">
            <v>16.846080830105596</v>
          </cell>
          <cell r="C3"/>
        </row>
        <row r="4">
          <cell r="A4">
            <v>35885</v>
          </cell>
          <cell r="B4">
            <v>16.899891682299049</v>
          </cell>
          <cell r="C4"/>
        </row>
        <row r="5">
          <cell r="A5">
            <v>35915</v>
          </cell>
          <cell r="B5">
            <v>16.908112876707637</v>
          </cell>
          <cell r="C5"/>
        </row>
        <row r="6">
          <cell r="A6">
            <v>35946</v>
          </cell>
          <cell r="B6">
            <v>16.953324678213473</v>
          </cell>
          <cell r="C6"/>
        </row>
        <row r="7">
          <cell r="A7">
            <v>35976</v>
          </cell>
          <cell r="B7">
            <v>16.980727626529394</v>
          </cell>
          <cell r="C7"/>
        </row>
        <row r="8">
          <cell r="A8">
            <v>36007</v>
          </cell>
          <cell r="B8">
            <v>17.080066773631152</v>
          </cell>
          <cell r="C8"/>
        </row>
        <row r="9">
          <cell r="A9">
            <v>36038</v>
          </cell>
          <cell r="B9">
            <v>17.243531374013397</v>
          </cell>
          <cell r="C9"/>
        </row>
        <row r="10">
          <cell r="A10">
            <v>36068</v>
          </cell>
          <cell r="B10">
            <v>17.37751103946179</v>
          </cell>
          <cell r="C10"/>
        </row>
        <row r="11">
          <cell r="A11">
            <v>36099</v>
          </cell>
          <cell r="B11">
            <v>17.542707251887499</v>
          </cell>
          <cell r="C11"/>
        </row>
        <row r="12">
          <cell r="A12">
            <v>36129</v>
          </cell>
          <cell r="B12">
            <v>17.666529012026803</v>
          </cell>
          <cell r="C12"/>
        </row>
        <row r="13">
          <cell r="A13">
            <v>36160</v>
          </cell>
          <cell r="B13">
            <v>17.784731452677196</v>
          </cell>
          <cell r="C13"/>
        </row>
        <row r="14">
          <cell r="A14">
            <v>36191</v>
          </cell>
          <cell r="B14">
            <v>17.941747796221126</v>
          </cell>
          <cell r="C14">
            <v>0.98769037695634054</v>
          </cell>
        </row>
        <row r="15">
          <cell r="A15">
            <v>36219</v>
          </cell>
          <cell r="B15">
            <v>18.042029644210103</v>
          </cell>
          <cell r="C15">
            <v>1.1959488141045078</v>
          </cell>
        </row>
        <row r="16">
          <cell r="A16">
            <v>36250</v>
          </cell>
          <cell r="B16">
            <v>18.289240619569362</v>
          </cell>
          <cell r="C16">
            <v>1.3893489372703129</v>
          </cell>
        </row>
        <row r="17">
          <cell r="A17">
            <v>36280</v>
          </cell>
          <cell r="B17">
            <v>18.572827071948421</v>
          </cell>
          <cell r="C17">
            <v>1.6647141952407836</v>
          </cell>
        </row>
        <row r="18">
          <cell r="A18">
            <v>36311</v>
          </cell>
          <cell r="B18">
            <v>18.864561516345933</v>
          </cell>
          <cell r="C18">
            <v>1.91123683813246</v>
          </cell>
        </row>
        <row r="19">
          <cell r="A19">
            <v>36341</v>
          </cell>
          <cell r="B19">
            <v>19.194084158389007</v>
          </cell>
          <cell r="C19">
            <v>2.2133565318596133</v>
          </cell>
        </row>
        <row r="20">
          <cell r="A20">
            <v>36372</v>
          </cell>
          <cell r="B20">
            <v>19.397714836546861</v>
          </cell>
          <cell r="C20">
            <v>2.3176480629157084</v>
          </cell>
        </row>
        <row r="21">
          <cell r="A21">
            <v>36403</v>
          </cell>
          <cell r="B21">
            <v>19.502816089864311</v>
          </cell>
          <cell r="C21">
            <v>2.2592847158509137</v>
          </cell>
        </row>
        <row r="22">
          <cell r="A22">
            <v>36433</v>
          </cell>
          <cell r="B22">
            <v>19.625850971106026</v>
          </cell>
          <cell r="C22">
            <v>2.2483399316442352</v>
          </cell>
        </row>
        <row r="23">
          <cell r="A23">
            <v>36464</v>
          </cell>
          <cell r="B23">
            <v>19.750952256491345</v>
          </cell>
          <cell r="C23">
            <v>2.208245004603846</v>
          </cell>
        </row>
        <row r="24">
          <cell r="A24">
            <v>36494</v>
          </cell>
          <cell r="B24">
            <v>19.921209501575539</v>
          </cell>
          <cell r="C24">
            <v>2.2546804895487362</v>
          </cell>
        </row>
        <row r="25">
          <cell r="A25">
            <v>36525</v>
          </cell>
          <cell r="B25">
            <v>20.054788403407354</v>
          </cell>
          <cell r="C25">
            <v>2.270056950730158</v>
          </cell>
        </row>
        <row r="26">
          <cell r="A26">
            <v>36556</v>
          </cell>
          <cell r="B26">
            <v>20.186259118779358</v>
          </cell>
          <cell r="C26">
            <v>2.2445113225582318</v>
          </cell>
        </row>
        <row r="27">
          <cell r="A27">
            <v>36585</v>
          </cell>
          <cell r="B27">
            <v>20.344597910375956</v>
          </cell>
          <cell r="C27">
            <v>2.3025682661658529</v>
          </cell>
        </row>
        <row r="28">
          <cell r="A28">
            <v>36616</v>
          </cell>
          <cell r="B28">
            <v>20.479713973594521</v>
          </cell>
          <cell r="C28">
            <v>2.1904733540251584</v>
          </cell>
        </row>
        <row r="29">
          <cell r="A29">
            <v>36646</v>
          </cell>
          <cell r="B29">
            <v>20.683642507183919</v>
          </cell>
          <cell r="C29">
            <v>2.110815435235498</v>
          </cell>
        </row>
        <row r="30">
          <cell r="A30">
            <v>36677</v>
          </cell>
          <cell r="B30">
            <v>20.898870971781328</v>
          </cell>
          <cell r="C30">
            <v>2.0343094554353947</v>
          </cell>
        </row>
        <row r="31">
          <cell r="A31">
            <v>36707</v>
          </cell>
          <cell r="B31">
            <v>20.862499349586663</v>
          </cell>
          <cell r="C31">
            <v>1.6684151911976564</v>
          </cell>
        </row>
        <row r="32">
          <cell r="A32">
            <v>36738</v>
          </cell>
          <cell r="B32">
            <v>21.016053503587237</v>
          </cell>
          <cell r="C32">
            <v>1.6183386670403763</v>
          </cell>
        </row>
        <row r="33">
          <cell r="A33">
            <v>36769</v>
          </cell>
          <cell r="B33">
            <v>21.241338151671922</v>
          </cell>
          <cell r="C33">
            <v>1.7385220618076112</v>
          </cell>
        </row>
        <row r="34">
          <cell r="A34">
            <v>36799</v>
          </cell>
          <cell r="B34">
            <v>21.510721658770727</v>
          </cell>
          <cell r="C34">
            <v>1.8848706876647014</v>
          </cell>
        </row>
        <row r="35">
          <cell r="A35">
            <v>36830</v>
          </cell>
          <cell r="B35">
            <v>21.744088809984291</v>
          </cell>
          <cell r="C35">
            <v>1.9931365534929455</v>
          </cell>
        </row>
        <row r="36">
          <cell r="A36">
            <v>36860</v>
          </cell>
          <cell r="B36">
            <v>22.000938296085884</v>
          </cell>
          <cell r="C36">
            <v>2.0797287945103449</v>
          </cell>
        </row>
        <row r="37">
          <cell r="A37">
            <v>36891</v>
          </cell>
          <cell r="B37">
            <v>21.928202687206088</v>
          </cell>
          <cell r="C37">
            <v>1.8734142837987342</v>
          </cell>
        </row>
        <row r="38">
          <cell r="A38">
            <v>36922</v>
          </cell>
          <cell r="B38">
            <v>21.928633576503632</v>
          </cell>
          <cell r="C38">
            <v>1.7423744577242744</v>
          </cell>
        </row>
        <row r="39">
          <cell r="A39">
            <v>36950</v>
          </cell>
          <cell r="B39">
            <v>21.920955412338149</v>
          </cell>
          <cell r="C39">
            <v>1.5763575019621925</v>
          </cell>
        </row>
        <row r="40">
          <cell r="A40">
            <v>36981</v>
          </cell>
          <cell r="B40">
            <v>21.919237490831904</v>
          </cell>
          <cell r="C40">
            <v>1.439523517237383</v>
          </cell>
        </row>
        <row r="41">
          <cell r="A41">
            <v>37011</v>
          </cell>
          <cell r="B41">
            <v>21.849912972340377</v>
          </cell>
          <cell r="C41">
            <v>1.1662704651564582</v>
          </cell>
        </row>
        <row r="42">
          <cell r="A42">
            <v>37042</v>
          </cell>
          <cell r="B42">
            <v>21.85280902250685</v>
          </cell>
          <cell r="C42">
            <v>0.9539380507255224</v>
          </cell>
        </row>
        <row r="43">
          <cell r="A43">
            <v>37072</v>
          </cell>
          <cell r="B43">
            <v>21.853602628401145</v>
          </cell>
          <cell r="C43">
            <v>0.99110327881448157</v>
          </cell>
        </row>
        <row r="44">
          <cell r="A44">
            <v>37103</v>
          </cell>
          <cell r="B44">
            <v>21.927346294331254</v>
          </cell>
          <cell r="C44">
            <v>0.91129279074401737</v>
          </cell>
        </row>
        <row r="45">
          <cell r="A45">
            <v>37134</v>
          </cell>
          <cell r="B45">
            <v>22.031695377994573</v>
          </cell>
          <cell r="C45">
            <v>0.79035722632265148</v>
          </cell>
        </row>
        <row r="46">
          <cell r="A46">
            <v>37164</v>
          </cell>
          <cell r="B46">
            <v>22.128893009291254</v>
          </cell>
          <cell r="C46">
            <v>0.61817135052052663</v>
          </cell>
        </row>
        <row r="47">
          <cell r="A47">
            <v>37195</v>
          </cell>
          <cell r="B47">
            <v>22.1625819164123</v>
          </cell>
          <cell r="C47">
            <v>0.4184931064280093</v>
          </cell>
        </row>
        <row r="48">
          <cell r="A48">
            <v>37225</v>
          </cell>
          <cell r="B48">
            <v>22.107433677993189</v>
          </cell>
          <cell r="C48">
            <v>0.10649538190730468</v>
          </cell>
        </row>
        <row r="49">
          <cell r="A49">
            <v>37256</v>
          </cell>
          <cell r="B49">
            <v>22.423856018141066</v>
          </cell>
          <cell r="C49">
            <v>0.49565333093497799</v>
          </cell>
        </row>
        <row r="50">
          <cell r="A50">
            <v>37287</v>
          </cell>
          <cell r="B50">
            <v>22.789264481129784</v>
          </cell>
          <cell r="C50">
            <v>0.86063090462615222</v>
          </cell>
        </row>
        <row r="51">
          <cell r="A51">
            <v>37315</v>
          </cell>
          <cell r="B51">
            <v>22.83695973937952</v>
          </cell>
          <cell r="C51">
            <v>0.91600432704137091</v>
          </cell>
        </row>
        <row r="52">
          <cell r="A52">
            <v>37346</v>
          </cell>
          <cell r="B52">
            <v>22.874574363120143</v>
          </cell>
          <cell r="C52">
            <v>0.95533687228823894</v>
          </cell>
        </row>
        <row r="53">
          <cell r="A53">
            <v>37376</v>
          </cell>
          <cell r="B53">
            <v>22.815046501592139</v>
          </cell>
          <cell r="C53">
            <v>0.96513352925176221</v>
          </cell>
        </row>
        <row r="54">
          <cell r="A54">
            <v>37407</v>
          </cell>
          <cell r="B54">
            <v>22.679013869469483</v>
          </cell>
          <cell r="C54">
            <v>0.82620484696263219</v>
          </cell>
        </row>
        <row r="55">
          <cell r="A55">
            <v>37437</v>
          </cell>
          <cell r="B55">
            <v>22.634245467963829</v>
          </cell>
          <cell r="C55">
            <v>0.78064283956268454</v>
          </cell>
        </row>
        <row r="56">
          <cell r="A56">
            <v>37468</v>
          </cell>
          <cell r="B56">
            <v>22.529230570585835</v>
          </cell>
          <cell r="C56">
            <v>0.60188427625458019</v>
          </cell>
        </row>
        <row r="57">
          <cell r="A57">
            <v>37499</v>
          </cell>
          <cell r="B57">
            <v>22.435849806672728</v>
          </cell>
          <cell r="C57">
            <v>0.40415442867815443</v>
          </cell>
        </row>
        <row r="58">
          <cell r="A58">
            <v>37529</v>
          </cell>
          <cell r="B58">
            <v>21.999101980451766</v>
          </cell>
          <cell r="C58">
            <v>-0.12979102883948812</v>
          </cell>
        </row>
        <row r="59">
          <cell r="A59">
            <v>37560</v>
          </cell>
          <cell r="B59">
            <v>21.688136628503479</v>
          </cell>
          <cell r="C59">
            <v>-0.47444528790882146</v>
          </cell>
        </row>
        <row r="60">
          <cell r="A60">
            <v>37590</v>
          </cell>
          <cell r="B60">
            <v>21.277434159455638</v>
          </cell>
          <cell r="C60">
            <v>-0.8299995185375515</v>
          </cell>
        </row>
        <row r="61">
          <cell r="A61">
            <v>37621</v>
          </cell>
          <cell r="B61">
            <v>20.946958928266469</v>
          </cell>
          <cell r="C61">
            <v>-1.4768970898745977</v>
          </cell>
        </row>
        <row r="62">
          <cell r="A62">
            <v>37652</v>
          </cell>
          <cell r="B62">
            <v>20.579967046885841</v>
          </cell>
          <cell r="C62">
            <v>-2.2092974342439433</v>
          </cell>
        </row>
        <row r="63">
          <cell r="A63">
            <v>37680</v>
          </cell>
          <cell r="B63">
            <v>20.132222048435967</v>
          </cell>
          <cell r="C63">
            <v>-2.7047376909435528</v>
          </cell>
        </row>
        <row r="64">
          <cell r="A64">
            <v>37711</v>
          </cell>
          <cell r="B64">
            <v>19.806284273233931</v>
          </cell>
          <cell r="C64">
            <v>-3.0682900898862115</v>
          </cell>
        </row>
        <row r="65">
          <cell r="A65">
            <v>37741</v>
          </cell>
          <cell r="B65">
            <v>19.561530274374704</v>
          </cell>
          <cell r="C65">
            <v>-3.2535162272174354</v>
          </cell>
        </row>
        <row r="66">
          <cell r="A66">
            <v>37772</v>
          </cell>
          <cell r="B66">
            <v>19.363045358528794</v>
          </cell>
          <cell r="C66">
            <v>-3.3159685109406887</v>
          </cell>
        </row>
        <row r="67">
          <cell r="A67">
            <v>37802</v>
          </cell>
          <cell r="B67">
            <v>19.207453565613989</v>
          </cell>
          <cell r="C67">
            <v>-3.4267919023498408</v>
          </cell>
        </row>
        <row r="68">
          <cell r="A68">
            <v>37833</v>
          </cell>
          <cell r="B68">
            <v>19.010188417494092</v>
          </cell>
          <cell r="C68">
            <v>-3.5190421530917426</v>
          </cell>
        </row>
        <row r="69">
          <cell r="A69">
            <v>37864</v>
          </cell>
          <cell r="B69">
            <v>18.677812427847861</v>
          </cell>
          <cell r="C69">
            <v>-3.7580373788248664</v>
          </cell>
        </row>
        <row r="70">
          <cell r="A70">
            <v>37894</v>
          </cell>
          <cell r="B70">
            <v>18.487452080598576</v>
          </cell>
          <cell r="C70">
            <v>-3.5116498998531895</v>
          </cell>
        </row>
        <row r="71">
          <cell r="A71">
            <v>37925</v>
          </cell>
          <cell r="B71">
            <v>18.382570692453424</v>
          </cell>
          <cell r="C71">
            <v>-3.3055659360500549</v>
          </cell>
        </row>
        <row r="72">
          <cell r="A72">
            <v>37955</v>
          </cell>
          <cell r="B72">
            <v>18.370032433110033</v>
          </cell>
          <cell r="C72">
            <v>-2.9074017263456042</v>
          </cell>
        </row>
        <row r="73">
          <cell r="A73">
            <v>37986</v>
          </cell>
          <cell r="B73">
            <v>18.254025122637149</v>
          </cell>
          <cell r="C73">
            <v>-2.6929338056293197</v>
          </cell>
        </row>
        <row r="74">
          <cell r="A74">
            <v>38017</v>
          </cell>
          <cell r="B74">
            <v>18.140797188779835</v>
          </cell>
          <cell r="C74">
            <v>-2.4391698581060055</v>
          </cell>
        </row>
        <row r="75">
          <cell r="A75">
            <v>38046</v>
          </cell>
          <cell r="B75">
            <v>18.088266505780464</v>
          </cell>
          <cell r="C75">
            <v>-2.0439555426555032</v>
          </cell>
        </row>
        <row r="76">
          <cell r="A76">
            <v>38077</v>
          </cell>
          <cell r="B76">
            <v>18.056915580642976</v>
          </cell>
          <cell r="C76">
            <v>-1.7493686925909557</v>
          </cell>
        </row>
        <row r="77">
          <cell r="A77">
            <v>38107</v>
          </cell>
          <cell r="B77">
            <v>18.002053664246297</v>
          </cell>
          <cell r="C77">
            <v>-1.5594766101284065</v>
          </cell>
        </row>
        <row r="78">
          <cell r="A78">
            <v>38138</v>
          </cell>
          <cell r="B78">
            <v>17.96793818725072</v>
          </cell>
          <cell r="C78">
            <v>-1.3951071712780738</v>
          </cell>
        </row>
        <row r="79">
          <cell r="A79">
            <v>38168</v>
          </cell>
          <cell r="B79">
            <v>17.948147201702518</v>
          </cell>
          <cell r="C79">
            <v>-1.2593063639114703</v>
          </cell>
        </row>
        <row r="80">
          <cell r="A80">
            <v>38199</v>
          </cell>
          <cell r="B80">
            <v>17.93607358344736</v>
          </cell>
          <cell r="C80">
            <v>-1.0741148340467319</v>
          </cell>
        </row>
        <row r="81">
          <cell r="A81">
            <v>38230</v>
          </cell>
          <cell r="B81">
            <v>17.996260995671506</v>
          </cell>
          <cell r="C81">
            <v>-0.68155143217635583</v>
          </cell>
        </row>
        <row r="82">
          <cell r="A82">
            <v>38260</v>
          </cell>
          <cell r="B82">
            <v>18.016393071770217</v>
          </cell>
          <cell r="C82">
            <v>-0.47105900882835883</v>
          </cell>
        </row>
        <row r="83">
          <cell r="A83">
            <v>38291</v>
          </cell>
          <cell r="B83">
            <v>18.046590019895159</v>
          </cell>
          <cell r="C83">
            <v>-0.33598067255826436</v>
          </cell>
        </row>
        <row r="84">
          <cell r="A84">
            <v>38321</v>
          </cell>
          <cell r="B84">
            <v>18.024936593860293</v>
          </cell>
          <cell r="C84">
            <v>-0.34509583924974052</v>
          </cell>
        </row>
        <row r="85">
          <cell r="A85">
            <v>38352</v>
          </cell>
          <cell r="B85">
            <v>18.054078227773822</v>
          </cell>
          <cell r="C85">
            <v>-0.19994689486332717</v>
          </cell>
        </row>
        <row r="86">
          <cell r="A86">
            <v>38383</v>
          </cell>
          <cell r="B86">
            <v>18.076157570421419</v>
          </cell>
          <cell r="C86">
            <v>-6.4639618358416584E-2</v>
          </cell>
        </row>
        <row r="87">
          <cell r="A87">
            <v>38411</v>
          </cell>
          <cell r="B87">
            <v>18.170076886140837</v>
          </cell>
          <cell r="C87">
            <v>8.1810380360373358E-2</v>
          </cell>
        </row>
        <row r="88">
          <cell r="A88">
            <v>38442</v>
          </cell>
          <cell r="B88">
            <v>18.172802167268411</v>
          </cell>
          <cell r="C88">
            <v>0.11588658662543594</v>
          </cell>
        </row>
        <row r="89">
          <cell r="A89">
            <v>38472</v>
          </cell>
          <cell r="B89">
            <v>18.123809754734584</v>
          </cell>
          <cell r="C89">
            <v>0.12175609048828662</v>
          </cell>
        </row>
        <row r="90">
          <cell r="A90">
            <v>38503</v>
          </cell>
          <cell r="B90">
            <v>18.078783284799041</v>
          </cell>
          <cell r="C90">
            <v>0.11084509754832084</v>
          </cell>
        </row>
        <row r="91">
          <cell r="A91">
            <v>38533</v>
          </cell>
          <cell r="B91">
            <v>17.996458473542468</v>
          </cell>
          <cell r="C91">
            <v>4.8311271839949654E-2</v>
          </cell>
        </row>
        <row r="92">
          <cell r="A92">
            <v>38564</v>
          </cell>
          <cell r="B92">
            <v>17.887424056694613</v>
          </cell>
          <cell r="C92">
            <v>-4.8649526752747363E-2</v>
          </cell>
        </row>
        <row r="93">
          <cell r="A93">
            <v>38595</v>
          </cell>
          <cell r="B93">
            <v>17.76593986931794</v>
          </cell>
          <cell r="C93">
            <v>-0.23032112635356583</v>
          </cell>
        </row>
        <row r="94">
          <cell r="A94">
            <v>38625</v>
          </cell>
          <cell r="B94">
            <v>17.640247345595956</v>
          </cell>
          <cell r="C94">
            <v>-0.37614572617426134</v>
          </cell>
        </row>
        <row r="95">
          <cell r="A95">
            <v>38656</v>
          </cell>
          <cell r="B95">
            <v>17.56398748731452</v>
          </cell>
          <cell r="C95">
            <v>-0.48260253258063912</v>
          </cell>
        </row>
        <row r="96">
          <cell r="A96">
            <v>38686</v>
          </cell>
          <cell r="B96">
            <v>17.460661437555341</v>
          </cell>
          <cell r="C96">
            <v>-0.56427515630495151</v>
          </cell>
        </row>
        <row r="97">
          <cell r="A97">
            <v>38717</v>
          </cell>
          <cell r="B97">
            <v>17.35101723584404</v>
          </cell>
          <cell r="C97">
            <v>-0.70306099192978166</v>
          </cell>
        </row>
        <row r="98">
          <cell r="A98">
            <v>38748</v>
          </cell>
          <cell r="B98">
            <v>17.217209991953219</v>
          </cell>
          <cell r="C98">
            <v>-0.85894757846820013</v>
          </cell>
        </row>
        <row r="99">
          <cell r="A99">
            <v>38776</v>
          </cell>
          <cell r="B99">
            <v>16.898667179054176</v>
          </cell>
          <cell r="C99">
            <v>-1.2714097070866615</v>
          </cell>
        </row>
        <row r="100">
          <cell r="A100">
            <v>38807</v>
          </cell>
          <cell r="B100">
            <v>16.856863583235793</v>
          </cell>
          <cell r="C100">
            <v>-1.3159385840326188</v>
          </cell>
        </row>
        <row r="101">
          <cell r="A101">
            <v>38837</v>
          </cell>
          <cell r="B101">
            <v>16.776741599946558</v>
          </cell>
          <cell r="C101">
            <v>-1.3470681547880261</v>
          </cell>
        </row>
        <row r="102">
          <cell r="A102">
            <v>38868</v>
          </cell>
          <cell r="B102">
            <v>16.596451183437861</v>
          </cell>
          <cell r="C102">
            <v>-1.4823321013611803</v>
          </cell>
        </row>
        <row r="103">
          <cell r="A103">
            <v>38898</v>
          </cell>
          <cell r="B103">
            <v>16.447038032342665</v>
          </cell>
          <cell r="C103">
            <v>-1.5494204411998034</v>
          </cell>
        </row>
        <row r="104">
          <cell r="A104">
            <v>38929</v>
          </cell>
          <cell r="B104">
            <v>16.349677884452682</v>
          </cell>
          <cell r="C104">
            <v>-1.5377461722419312</v>
          </cell>
        </row>
        <row r="105">
          <cell r="A105">
            <v>38960</v>
          </cell>
          <cell r="B105">
            <v>16.35324820258975</v>
          </cell>
          <cell r="C105">
            <v>-1.4126916667281897</v>
          </cell>
        </row>
        <row r="106">
          <cell r="A106">
            <v>38990</v>
          </cell>
          <cell r="B106">
            <v>16.414263312616935</v>
          </cell>
          <cell r="C106">
            <v>-1.2259840329790208</v>
          </cell>
        </row>
        <row r="107">
          <cell r="A107">
            <v>39021</v>
          </cell>
          <cell r="B107">
            <v>16.573621611995684</v>
          </cell>
          <cell r="C107">
            <v>-0.99036587531883669</v>
          </cell>
        </row>
        <row r="108">
          <cell r="A108">
            <v>39051</v>
          </cell>
          <cell r="B108">
            <v>16.352540920339262</v>
          </cell>
          <cell r="C108">
            <v>-1.1081205172160793</v>
          </cell>
        </row>
        <row r="109">
          <cell r="A109">
            <v>39082</v>
          </cell>
          <cell r="B109">
            <v>16.162297666474061</v>
          </cell>
          <cell r="C109">
            <v>-1.1887195693699795</v>
          </cell>
        </row>
        <row r="110">
          <cell r="A110">
            <v>39113</v>
          </cell>
          <cell r="B110">
            <v>15.954988434465935</v>
          </cell>
          <cell r="C110">
            <v>-1.2622215574872833</v>
          </cell>
        </row>
        <row r="111">
          <cell r="A111">
            <v>39141</v>
          </cell>
          <cell r="B111">
            <v>15.698533892506809</v>
          </cell>
          <cell r="C111">
            <v>-1.2001332865473664</v>
          </cell>
        </row>
        <row r="112">
          <cell r="A112">
            <v>39172</v>
          </cell>
          <cell r="B112">
            <v>15.439301448019101</v>
          </cell>
          <cell r="C112">
            <v>-1.4175621352166914</v>
          </cell>
        </row>
        <row r="113">
          <cell r="A113">
            <v>39202</v>
          </cell>
          <cell r="B113">
            <v>15.184401476077419</v>
          </cell>
          <cell r="C113">
            <v>-1.592340123869139</v>
          </cell>
        </row>
        <row r="114">
          <cell r="A114">
            <v>39233</v>
          </cell>
          <cell r="B114">
            <v>15.015577599544695</v>
          </cell>
          <cell r="C114">
            <v>-1.5808735838931653</v>
          </cell>
        </row>
        <row r="115">
          <cell r="A115">
            <v>39263</v>
          </cell>
          <cell r="B115">
            <v>14.852021997673672</v>
          </cell>
          <cell r="C115">
            <v>-1.5950160346689923</v>
          </cell>
        </row>
        <row r="116">
          <cell r="A116">
            <v>39294</v>
          </cell>
          <cell r="B116">
            <v>14.740690658680984</v>
          </cell>
          <cell r="C116">
            <v>-1.6089872257716973</v>
          </cell>
        </row>
        <row r="117">
          <cell r="A117">
            <v>39325</v>
          </cell>
          <cell r="B117">
            <v>14.619669893892883</v>
          </cell>
          <cell r="C117">
            <v>-1.7335783086968668</v>
          </cell>
        </row>
        <row r="118">
          <cell r="A118">
            <v>39355</v>
          </cell>
          <cell r="B118">
            <v>14.46366011500802</v>
          </cell>
          <cell r="C118">
            <v>-1.9506031976089151</v>
          </cell>
        </row>
        <row r="119">
          <cell r="A119">
            <v>39386</v>
          </cell>
          <cell r="B119">
            <v>14.284852315201684</v>
          </cell>
          <cell r="C119">
            <v>-2.2887692967939994</v>
          </cell>
        </row>
        <row r="120">
          <cell r="A120">
            <v>39416</v>
          </cell>
          <cell r="B120">
            <v>14.108243979224866</v>
          </cell>
          <cell r="C120">
            <v>-2.2442969411143956</v>
          </cell>
        </row>
        <row r="121">
          <cell r="A121">
            <v>39447</v>
          </cell>
          <cell r="B121">
            <v>13.923872138358433</v>
          </cell>
          <cell r="C121">
            <v>-2.2384255281156271</v>
          </cell>
        </row>
        <row r="122">
          <cell r="A122">
            <v>39478</v>
          </cell>
          <cell r="B122">
            <v>13.68094157706788</v>
          </cell>
          <cell r="C122">
            <v>-2.274046857398055</v>
          </cell>
        </row>
        <row r="123">
          <cell r="A123">
            <v>39507</v>
          </cell>
          <cell r="B123">
            <v>13.452278539361208</v>
          </cell>
          <cell r="C123">
            <v>-2.2462553531456013</v>
          </cell>
        </row>
        <row r="124">
          <cell r="A124">
            <v>39538</v>
          </cell>
          <cell r="B124">
            <v>13.300571388306553</v>
          </cell>
          <cell r="C124">
            <v>-2.1387300597125485</v>
          </cell>
        </row>
        <row r="125">
          <cell r="A125">
            <v>39568</v>
          </cell>
          <cell r="B125">
            <v>13.217911950800344</v>
          </cell>
          <cell r="C125">
            <v>-1.9664895252770744</v>
          </cell>
        </row>
        <row r="126">
          <cell r="A126">
            <v>39599</v>
          </cell>
          <cell r="B126">
            <v>13.200645247377098</v>
          </cell>
          <cell r="C126">
            <v>-1.8149323521675971</v>
          </cell>
        </row>
        <row r="127">
          <cell r="A127">
            <v>39629</v>
          </cell>
          <cell r="B127">
            <v>13.22933494979319</v>
          </cell>
          <cell r="C127">
            <v>-1.6226870478804827</v>
          </cell>
        </row>
        <row r="128">
          <cell r="A128">
            <v>39660</v>
          </cell>
          <cell r="B128">
            <v>13.229728836830152</v>
          </cell>
          <cell r="C128">
            <v>-1.5109618218508327</v>
          </cell>
        </row>
        <row r="129">
          <cell r="A129">
            <v>39691</v>
          </cell>
          <cell r="B129">
            <v>13.276011343762226</v>
          </cell>
          <cell r="C129">
            <v>-1.343658550130657</v>
          </cell>
        </row>
        <row r="130">
          <cell r="A130">
            <v>39721</v>
          </cell>
          <cell r="B130">
            <v>13.135480921932745</v>
          </cell>
          <cell r="C130">
            <v>-1.3281791930752753</v>
          </cell>
        </row>
        <row r="131">
          <cell r="A131">
            <v>39752</v>
          </cell>
          <cell r="B131">
            <v>13.036431055960207</v>
          </cell>
          <cell r="C131">
            <v>-1.2484212592414767</v>
          </cell>
        </row>
        <row r="132">
          <cell r="A132">
            <v>39782</v>
          </cell>
          <cell r="B132">
            <v>13.001807534780312</v>
          </cell>
          <cell r="C132">
            <v>-1.1064364444445545</v>
          </cell>
        </row>
        <row r="133">
          <cell r="A133">
            <v>39813</v>
          </cell>
          <cell r="B133">
            <v>13.042909457336448</v>
          </cell>
          <cell r="C133">
            <v>-0.88096268102198572</v>
          </cell>
        </row>
        <row r="134">
          <cell r="A134">
            <v>39844</v>
          </cell>
          <cell r="B134">
            <v>13.13019591751522</v>
          </cell>
          <cell r="C134">
            <v>-0.55074565955266053</v>
          </cell>
        </row>
        <row r="135">
          <cell r="A135">
            <v>39872</v>
          </cell>
          <cell r="B135">
            <v>13.632920245519022</v>
          </cell>
          <cell r="C135">
            <v>0.1806417061578145</v>
          </cell>
        </row>
        <row r="136">
          <cell r="A136">
            <v>39903</v>
          </cell>
          <cell r="B136">
            <v>13.997141567094763</v>
          </cell>
          <cell r="C136">
            <v>0.69657017878821037</v>
          </cell>
        </row>
        <row r="137">
          <cell r="A137">
            <v>39933</v>
          </cell>
          <cell r="B137">
            <v>14.380658891602016</v>
          </cell>
          <cell r="C137">
            <v>1.1627469408016715</v>
          </cell>
        </row>
        <row r="138">
          <cell r="A138">
            <v>39964</v>
          </cell>
          <cell r="B138">
            <v>14.730235985696289</v>
          </cell>
          <cell r="C138">
            <v>1.5295907383191913</v>
          </cell>
        </row>
        <row r="139">
          <cell r="A139">
            <v>39994</v>
          </cell>
          <cell r="B139">
            <v>14.911772067616077</v>
          </cell>
          <cell r="C139">
            <v>1.6824371178228876</v>
          </cell>
        </row>
        <row r="140">
          <cell r="A140">
            <v>40025</v>
          </cell>
          <cell r="B140">
            <v>15.184584439688539</v>
          </cell>
          <cell r="C140">
            <v>1.9548556028583874</v>
          </cell>
        </row>
        <row r="141">
          <cell r="A141">
            <v>40056</v>
          </cell>
          <cell r="B141">
            <v>15.451762067384307</v>
          </cell>
          <cell r="C141">
            <v>2.1757507236220803</v>
          </cell>
        </row>
        <row r="142">
          <cell r="A142">
            <v>40086</v>
          </cell>
          <cell r="B142">
            <v>15.700013470837447</v>
          </cell>
          <cell r="C142">
            <v>2.5645325489047028</v>
          </cell>
        </row>
        <row r="143">
          <cell r="A143">
            <v>40117</v>
          </cell>
          <cell r="B143">
            <v>15.943375296819671</v>
          </cell>
          <cell r="C143">
            <v>2.9069442408594632</v>
          </cell>
        </row>
        <row r="144">
          <cell r="A144">
            <v>40147</v>
          </cell>
          <cell r="B144">
            <v>16.161688127539129</v>
          </cell>
          <cell r="C144">
            <v>3.1598805927588174</v>
          </cell>
        </row>
        <row r="145">
          <cell r="A145">
            <v>40178</v>
          </cell>
          <cell r="B145">
            <v>16.247612098112754</v>
          </cell>
          <cell r="C145">
            <v>3.204702640776306</v>
          </cell>
        </row>
        <row r="146">
          <cell r="A146">
            <v>40209</v>
          </cell>
          <cell r="B146">
            <v>16.520785674580711</v>
          </cell>
          <cell r="C146">
            <v>3.3905897570654915</v>
          </cell>
        </row>
        <row r="147">
          <cell r="A147">
            <v>40237</v>
          </cell>
          <cell r="B147">
            <v>16.795768615370513</v>
          </cell>
          <cell r="C147">
            <v>3.1628483698514902</v>
          </cell>
        </row>
        <row r="148">
          <cell r="A148">
            <v>40268</v>
          </cell>
          <cell r="B148">
            <v>17.017538562852806</v>
          </cell>
          <cell r="C148">
            <v>3.020396995758043</v>
          </cell>
        </row>
        <row r="149">
          <cell r="A149">
            <v>40298</v>
          </cell>
          <cell r="B149">
            <v>17.17490215304079</v>
          </cell>
          <cell r="C149">
            <v>2.7942432614387744</v>
          </cell>
        </row>
        <row r="150">
          <cell r="A150">
            <v>40329</v>
          </cell>
          <cell r="B150">
            <v>17.354991988286326</v>
          </cell>
          <cell r="C150">
            <v>2.6247560025900363</v>
          </cell>
        </row>
        <row r="151">
          <cell r="A151">
            <v>40359</v>
          </cell>
          <cell r="B151">
            <v>17.471147589560481</v>
          </cell>
          <cell r="C151">
            <v>2.5593755219444034</v>
          </cell>
        </row>
        <row r="152">
          <cell r="A152">
            <v>40390</v>
          </cell>
          <cell r="B152">
            <v>17.466271854566848</v>
          </cell>
          <cell r="C152">
            <v>2.2816874148783093</v>
          </cell>
        </row>
        <row r="153">
          <cell r="A153">
            <v>40421</v>
          </cell>
          <cell r="B153">
            <v>17.627341603453175</v>
          </cell>
          <cell r="C153">
            <v>2.1755795360688683</v>
          </cell>
        </row>
        <row r="154">
          <cell r="A154">
            <v>40451</v>
          </cell>
          <cell r="B154">
            <v>17.822467154531747</v>
          </cell>
          <cell r="C154">
            <v>2.1224536836942995</v>
          </cell>
        </row>
        <row r="155">
          <cell r="A155">
            <v>40482</v>
          </cell>
          <cell r="B155">
            <v>18.016384342259858</v>
          </cell>
          <cell r="C155">
            <v>2.0730090454401875</v>
          </cell>
        </row>
        <row r="156">
          <cell r="A156">
            <v>40512</v>
          </cell>
          <cell r="B156">
            <v>18.063032984873665</v>
          </cell>
          <cell r="C156">
            <v>1.9013448573345357</v>
          </cell>
        </row>
        <row r="157">
          <cell r="A157">
            <v>40543</v>
          </cell>
          <cell r="B157">
            <v>18.033735238627166</v>
          </cell>
          <cell r="C157">
            <v>1.7861231405144125</v>
          </cell>
        </row>
        <row r="158">
          <cell r="A158">
            <v>40574</v>
          </cell>
          <cell r="B158">
            <v>18.013495108176567</v>
          </cell>
          <cell r="C158">
            <v>1.4927094335958557</v>
          </cell>
        </row>
        <row r="159">
          <cell r="A159">
            <v>40602</v>
          </cell>
          <cell r="B159">
            <v>17.884261481186169</v>
          </cell>
          <cell r="C159">
            <v>1.0884928658156561</v>
          </cell>
        </row>
        <row r="160">
          <cell r="A160">
            <v>40633</v>
          </cell>
          <cell r="B160">
            <v>17.768909337948777</v>
          </cell>
          <cell r="C160">
            <v>0.75137077509597106</v>
          </cell>
        </row>
        <row r="161">
          <cell r="A161">
            <v>40663</v>
          </cell>
          <cell r="B161">
            <v>17.410533585015006</v>
          </cell>
          <cell r="C161">
            <v>0.2356314319742161</v>
          </cell>
        </row>
        <row r="162">
          <cell r="A162">
            <v>40694</v>
          </cell>
          <cell r="B162">
            <v>17.766222628924698</v>
          </cell>
          <cell r="C162">
            <v>0.41123064063837234</v>
          </cell>
        </row>
        <row r="163">
          <cell r="A163">
            <v>40724</v>
          </cell>
          <cell r="B163">
            <v>17.870186063390573</v>
          </cell>
          <cell r="C163">
            <v>0.3990384738300925</v>
          </cell>
        </row>
        <row r="164">
          <cell r="A164">
            <v>40755</v>
          </cell>
          <cell r="B164">
            <v>18.00077276708155</v>
          </cell>
          <cell r="C164">
            <v>0.53450091251470155</v>
          </cell>
        </row>
        <row r="165">
          <cell r="A165">
            <v>40786</v>
          </cell>
          <cell r="B165">
            <v>17.995994657030334</v>
          </cell>
          <cell r="C165">
            <v>0.36865305357715883</v>
          </cell>
        </row>
        <row r="166">
          <cell r="A166">
            <v>40816</v>
          </cell>
          <cell r="B166">
            <v>17.796638235779845</v>
          </cell>
          <cell r="C166">
            <v>-2.5828918751901853E-2</v>
          </cell>
        </row>
        <row r="167">
          <cell r="A167">
            <v>40847</v>
          </cell>
          <cell r="B167">
            <v>17.627374039572381</v>
          </cell>
          <cell r="C167">
            <v>-0.3890103026874776</v>
          </cell>
        </row>
        <row r="168">
          <cell r="A168">
            <v>40877</v>
          </cell>
          <cell r="B168">
            <v>17.602563145869112</v>
          </cell>
          <cell r="C168">
            <v>-0.46046983900455274</v>
          </cell>
        </row>
        <row r="169">
          <cell r="A169">
            <v>40908</v>
          </cell>
          <cell r="B169">
            <v>17.814191796193963</v>
          </cell>
          <cell r="C169">
            <v>-0.21954344243320278</v>
          </cell>
        </row>
        <row r="170">
          <cell r="A170">
            <v>40939</v>
          </cell>
          <cell r="B170">
            <v>18.005100798884808</v>
          </cell>
          <cell r="C170">
            <v>-8.3943092917593276E-3</v>
          </cell>
        </row>
        <row r="171">
          <cell r="A171">
            <v>40968</v>
          </cell>
          <cell r="B171">
            <v>18.116449035691531</v>
          </cell>
          <cell r="C171">
            <v>0.23218755450536221</v>
          </cell>
        </row>
        <row r="172">
          <cell r="A172">
            <v>40999</v>
          </cell>
          <cell r="B172">
            <v>18.23902174838415</v>
          </cell>
          <cell r="C172">
            <v>0.47011241043537311</v>
          </cell>
        </row>
        <row r="173">
          <cell r="A173">
            <v>41029</v>
          </cell>
          <cell r="B173">
            <v>18.206915829901892</v>
          </cell>
          <cell r="C173">
            <v>0.79638224488688536</v>
          </cell>
        </row>
        <row r="174">
          <cell r="A174">
            <v>41060</v>
          </cell>
          <cell r="B174">
            <v>18.305893502163606</v>
          </cell>
          <cell r="C174">
            <v>0.53967087323890794</v>
          </cell>
        </row>
        <row r="175">
          <cell r="A175">
            <v>41090</v>
          </cell>
          <cell r="B175">
            <v>18.457329438886795</v>
          </cell>
          <cell r="C175">
            <v>0.58714337549622186</v>
          </cell>
        </row>
        <row r="176">
          <cell r="A176">
            <v>41121</v>
          </cell>
          <cell r="B176">
            <v>18.843396822607165</v>
          </cell>
          <cell r="C176">
            <v>0.84262405552561503</v>
          </cell>
        </row>
        <row r="177">
          <cell r="A177">
            <v>41152</v>
          </cell>
          <cell r="B177">
            <v>19.087913913337374</v>
          </cell>
          <cell r="C177">
            <v>1.0919192563070403</v>
          </cell>
        </row>
        <row r="178">
          <cell r="A178">
            <v>41182</v>
          </cell>
          <cell r="B178">
            <v>19.396733635784773</v>
          </cell>
          <cell r="C178">
            <v>1.6000954000049283</v>
          </cell>
        </row>
        <row r="179">
          <cell r="A179">
            <v>41213</v>
          </cell>
          <cell r="B179">
            <v>19.719929221818933</v>
          </cell>
          <cell r="C179">
            <v>2.0925551822465529</v>
          </cell>
        </row>
        <row r="180">
          <cell r="A180">
            <v>41243</v>
          </cell>
          <cell r="B180">
            <v>19.911809601086265</v>
          </cell>
          <cell r="C180">
            <v>2.3092464552171528</v>
          </cell>
        </row>
        <row r="181">
          <cell r="A181">
            <v>41274</v>
          </cell>
          <cell r="B181">
            <v>20.045407025599296</v>
          </cell>
          <cell r="C181">
            <v>2.2312152294053327</v>
          </cell>
        </row>
        <row r="182">
          <cell r="A182">
            <v>41305</v>
          </cell>
          <cell r="B182">
            <v>20.005512283593074</v>
          </cell>
          <cell r="C182">
            <v>2.0004114847082661</v>
          </cell>
        </row>
        <row r="183">
          <cell r="A183">
            <v>41333</v>
          </cell>
          <cell r="B183">
            <v>19.985110011964963</v>
          </cell>
          <cell r="C183">
            <v>1.8686609762734321</v>
          </cell>
        </row>
        <row r="184">
          <cell r="A184">
            <v>41364</v>
          </cell>
          <cell r="B184">
            <v>20.007090008163228</v>
          </cell>
          <cell r="C184">
            <v>1.7680682597790778</v>
          </cell>
        </row>
        <row r="185">
          <cell r="A185">
            <v>41394</v>
          </cell>
          <cell r="B185">
            <v>20.196115119828573</v>
          </cell>
          <cell r="C185">
            <v>1.989199289926681</v>
          </cell>
        </row>
        <row r="186">
          <cell r="A186">
            <v>41425</v>
          </cell>
          <cell r="B186">
            <v>20.078052559742133</v>
          </cell>
          <cell r="C186">
            <v>1.7721590575785271</v>
          </cell>
        </row>
        <row r="187">
          <cell r="A187">
            <v>41455</v>
          </cell>
          <cell r="B187">
            <v>20.091930313516063</v>
          </cell>
          <cell r="C187">
            <v>1.6346008746292675</v>
          </cell>
        </row>
        <row r="188">
          <cell r="A188">
            <v>41486</v>
          </cell>
          <cell r="B188">
            <v>20.074204411236778</v>
          </cell>
          <cell r="C188">
            <v>1.230807588629613</v>
          </cell>
        </row>
        <row r="189">
          <cell r="A189">
            <v>41517</v>
          </cell>
          <cell r="B189">
            <v>19.960368843216688</v>
          </cell>
          <cell r="C189">
            <v>0.87245492987931428</v>
          </cell>
        </row>
        <row r="190">
          <cell r="A190">
            <v>41547</v>
          </cell>
          <cell r="B190">
            <v>20.34368597591773</v>
          </cell>
          <cell r="C190">
            <v>0.94695234013295604</v>
          </cell>
        </row>
        <row r="191">
          <cell r="A191">
            <v>41578</v>
          </cell>
          <cell r="B191">
            <v>20.471018263095274</v>
          </cell>
          <cell r="C191">
            <v>0.75108904127634091</v>
          </cell>
        </row>
        <row r="192">
          <cell r="A192">
            <v>41608</v>
          </cell>
          <cell r="B192">
            <v>20.587395883309515</v>
          </cell>
          <cell r="C192">
            <v>0.67558628222325012</v>
          </cell>
        </row>
        <row r="193">
          <cell r="A193">
            <v>41639</v>
          </cell>
          <cell r="B193">
            <v>20.575633792381264</v>
          </cell>
          <cell r="C193">
            <v>0.53022676678196845</v>
          </cell>
        </row>
        <row r="194">
          <cell r="A194">
            <v>41670</v>
          </cell>
          <cell r="B194">
            <v>20.56170025469843</v>
          </cell>
          <cell r="C194">
            <v>0.55618797110535567</v>
          </cell>
        </row>
        <row r="195">
          <cell r="A195">
            <v>41698</v>
          </cell>
          <cell r="B195">
            <v>20.621837387666766</v>
          </cell>
          <cell r="C195">
            <v>0.6367273757018026</v>
          </cell>
        </row>
        <row r="196">
          <cell r="A196">
            <v>41729</v>
          </cell>
          <cell r="B196">
            <v>20.720375686425157</v>
          </cell>
          <cell r="C196">
            <v>0.71328567826192923</v>
          </cell>
        </row>
        <row r="197">
          <cell r="A197">
            <v>41759</v>
          </cell>
          <cell r="B197">
            <v>20.420680576815819</v>
          </cell>
          <cell r="C197">
            <v>0.22456545698724639</v>
          </cell>
        </row>
        <row r="198">
          <cell r="A198">
            <v>41790</v>
          </cell>
          <cell r="B198">
            <v>20.139145841277092</v>
          </cell>
          <cell r="C198">
            <v>6.1093281534958521E-2</v>
          </cell>
        </row>
        <row r="199">
          <cell r="A199">
            <v>41820</v>
          </cell>
          <cell r="B199">
            <v>19.75896996429692</v>
          </cell>
          <cell r="C199">
            <v>-0.33296034921914242</v>
          </cell>
        </row>
        <row r="200">
          <cell r="A200">
            <v>41851</v>
          </cell>
          <cell r="B200">
            <v>19.429182475656003</v>
          </cell>
          <cell r="C200">
            <v>-0.64502193558077536</v>
          </cell>
        </row>
        <row r="201">
          <cell r="A201">
            <v>41882</v>
          </cell>
          <cell r="B201">
            <v>19.07398428313887</v>
          </cell>
          <cell r="C201">
            <v>-0.88638456007781841</v>
          </cell>
        </row>
        <row r="202">
          <cell r="A202">
            <v>41912</v>
          </cell>
          <cell r="B202">
            <v>18.929195433406449</v>
          </cell>
          <cell r="C202">
            <v>-1.414490542511281</v>
          </cell>
        </row>
        <row r="203">
          <cell r="A203">
            <v>41943</v>
          </cell>
          <cell r="B203">
            <v>18.817499319016441</v>
          </cell>
          <cell r="C203">
            <v>-1.6535189440788329</v>
          </cell>
        </row>
        <row r="204">
          <cell r="A204">
            <v>41973</v>
          </cell>
          <cell r="B204">
            <v>18.596474278299343</v>
          </cell>
          <cell r="C204">
            <v>-1.9909216050101719</v>
          </cell>
        </row>
        <row r="205">
          <cell r="A205">
            <v>42004</v>
          </cell>
          <cell r="B205">
            <v>18.431590603837957</v>
          </cell>
          <cell r="C205">
            <v>-2.1440431885433071</v>
          </cell>
        </row>
        <row r="206">
          <cell r="A206">
            <v>42035</v>
          </cell>
          <cell r="B206">
            <v>17.612428971768814</v>
          </cell>
          <cell r="C206">
            <v>-2.9492712829296153</v>
          </cell>
        </row>
        <row r="207">
          <cell r="A207">
            <v>42063</v>
          </cell>
          <cell r="B207">
            <v>17.618506090271641</v>
          </cell>
          <cell r="C207">
            <v>-3.0033312973951247</v>
          </cell>
        </row>
        <row r="208">
          <cell r="A208">
            <v>42094</v>
          </cell>
          <cell r="B208">
            <v>17.675800852047086</v>
          </cell>
          <cell r="C208">
            <v>-3.0445748343780714</v>
          </cell>
        </row>
        <row r="209">
          <cell r="A209">
            <v>42124</v>
          </cell>
          <cell r="B209">
            <v>17.367475533056403</v>
          </cell>
          <cell r="C209">
            <v>-3.0532050437594158</v>
          </cell>
        </row>
        <row r="210">
          <cell r="A210">
            <v>42155</v>
          </cell>
          <cell r="B210">
            <v>17.284982322618053</v>
          </cell>
          <cell r="C210">
            <v>-2.8541635186590391</v>
          </cell>
        </row>
        <row r="211">
          <cell r="A211">
            <v>42185</v>
          </cell>
          <cell r="B211">
            <v>17.115445353087427</v>
          </cell>
          <cell r="C211">
            <v>-2.643524611209493</v>
          </cell>
        </row>
        <row r="212">
          <cell r="A212">
            <v>42216</v>
          </cell>
          <cell r="B212">
            <v>16.927959885639041</v>
          </cell>
          <cell r="C212">
            <v>-2.5012225900169618</v>
          </cell>
        </row>
        <row r="213">
          <cell r="A213">
            <v>42247</v>
          </cell>
          <cell r="B213">
            <v>16.798942993687394</v>
          </cell>
          <cell r="C213">
            <v>-2.275041289451476</v>
          </cell>
        </row>
        <row r="214">
          <cell r="A214">
            <v>42277</v>
          </cell>
          <cell r="B214">
            <v>16.711840793915869</v>
          </cell>
          <cell r="C214">
            <v>-2.2173546394905799</v>
          </cell>
        </row>
        <row r="215">
          <cell r="A215">
            <v>42308</v>
          </cell>
          <cell r="B215">
            <v>16.599118965907362</v>
          </cell>
          <cell r="C215">
            <v>-2.2183803531090796</v>
          </cell>
        </row>
        <row r="216">
          <cell r="A216">
            <v>42338</v>
          </cell>
          <cell r="B216">
            <v>16.471899200285591</v>
          </cell>
          <cell r="C216">
            <v>-2.124575078013752</v>
          </cell>
        </row>
        <row r="217">
          <cell r="A217">
            <v>42369</v>
          </cell>
          <cell r="B217">
            <v>16.247162421313476</v>
          </cell>
          <cell r="C217">
            <v>-2.1844281825244813</v>
          </cell>
        </row>
        <row r="218">
          <cell r="A218">
            <v>42400</v>
          </cell>
          <cell r="B218">
            <v>15.568564418215265</v>
          </cell>
          <cell r="C218">
            <v>-2.0438645535535489</v>
          </cell>
        </row>
        <row r="219">
          <cell r="A219">
            <v>42429</v>
          </cell>
          <cell r="B219">
            <v>15.345104313384363</v>
          </cell>
          <cell r="C219">
            <v>-2.2734017768872778</v>
          </cell>
        </row>
        <row r="220">
          <cell r="A220">
            <v>42460</v>
          </cell>
          <cell r="B220">
            <v>15.189113141939446</v>
          </cell>
          <cell r="C220">
            <v>-2.4866877101076401</v>
          </cell>
        </row>
        <row r="221">
          <cell r="A221">
            <v>42490</v>
          </cell>
          <cell r="B221">
            <v>14.915533407428926</v>
          </cell>
          <cell r="C221">
            <v>-2.4519421256274772</v>
          </cell>
        </row>
        <row r="222">
          <cell r="A222">
            <v>42521</v>
          </cell>
          <cell r="B222">
            <v>14.713416877042063</v>
          </cell>
          <cell r="C222">
            <v>-2.57156544557599</v>
          </cell>
        </row>
        <row r="223">
          <cell r="A223">
            <v>42551</v>
          </cell>
          <cell r="B223">
            <v>14.52084183802414</v>
          </cell>
          <cell r="C223">
            <v>-2.5946035150632873</v>
          </cell>
        </row>
        <row r="224">
          <cell r="A224">
            <v>42582</v>
          </cell>
          <cell r="B224">
            <v>14.233099862203224</v>
          </cell>
          <cell r="C224">
            <v>-2.6948600234358171</v>
          </cell>
        </row>
        <row r="225">
          <cell r="A225">
            <v>42613</v>
          </cell>
          <cell r="B225">
            <v>13.971115857508872</v>
          </cell>
          <cell r="C225">
            <v>-2.8278271361785219</v>
          </cell>
        </row>
        <row r="226">
          <cell r="A226">
            <v>42643</v>
          </cell>
          <cell r="B226">
            <v>13.724619719031995</v>
          </cell>
          <cell r="C226">
            <v>-2.9872210748838732</v>
          </cell>
        </row>
        <row r="227">
          <cell r="A227">
            <v>42674</v>
          </cell>
          <cell r="B227">
            <v>13.460498251545973</v>
          </cell>
          <cell r="C227">
            <v>-3.1386207143613891</v>
          </cell>
        </row>
        <row r="228">
          <cell r="A228">
            <v>42704</v>
          </cell>
          <cell r="B228">
            <v>13.239762515416375</v>
          </cell>
          <cell r="C228">
            <v>-3.2321366848692161</v>
          </cell>
        </row>
        <row r="229">
          <cell r="A229">
            <v>42735</v>
          </cell>
          <cell r="B229">
            <v>13.151949161815939</v>
          </cell>
          <cell r="C229">
            <v>-3.0952132594975375</v>
          </cell>
        </row>
        <row r="230">
          <cell r="A230">
            <v>42766</v>
          </cell>
          <cell r="B230">
            <v>12.916440055602015</v>
          </cell>
          <cell r="C230">
            <v>-2.6521243626132502</v>
          </cell>
        </row>
        <row r="231">
          <cell r="A231">
            <v>42794</v>
          </cell>
          <cell r="B231">
            <v>12.671781852428737</v>
          </cell>
          <cell r="C231">
            <v>-2.6733224609556263</v>
          </cell>
        </row>
        <row r="232">
          <cell r="A232">
            <v>42825</v>
          </cell>
          <cell r="B232">
            <v>12.408474148585846</v>
          </cell>
          <cell r="C232">
            <v>-2.7806389933536</v>
          </cell>
        </row>
        <row r="233">
          <cell r="A233">
            <v>42855</v>
          </cell>
          <cell r="B233">
            <v>12.120904090122613</v>
          </cell>
          <cell r="C233">
            <v>-2.7946293173063133</v>
          </cell>
        </row>
        <row r="234">
          <cell r="A234">
            <v>42886</v>
          </cell>
          <cell r="B234">
            <v>11.787527946290735</v>
          </cell>
          <cell r="C234">
            <v>-2.9258889307513272</v>
          </cell>
        </row>
        <row r="235">
          <cell r="A235">
            <v>42916</v>
          </cell>
          <cell r="B235">
            <v>11.541942416095328</v>
          </cell>
          <cell r="C235">
            <v>-2.9788994219288121</v>
          </cell>
        </row>
        <row r="236">
          <cell r="A236">
            <v>42947</v>
          </cell>
          <cell r="B236">
            <v>11.462402715756644</v>
          </cell>
          <cell r="C236">
            <v>-2.7706971464465795</v>
          </cell>
        </row>
        <row r="237">
          <cell r="A237">
            <v>42978</v>
          </cell>
          <cell r="B237">
            <v>11.411132609623543</v>
          </cell>
          <cell r="C237">
            <v>-2.559983247885329</v>
          </cell>
        </row>
        <row r="238">
          <cell r="A238">
            <v>43008</v>
          </cell>
          <cell r="B238">
            <v>11.108354660609557</v>
          </cell>
          <cell r="C238">
            <v>-2.6162650584224387</v>
          </cell>
        </row>
        <row r="239">
          <cell r="A239">
            <v>43039</v>
          </cell>
          <cell r="B239">
            <v>10.847719660937171</v>
          </cell>
          <cell r="C239">
            <v>-2.6127785906088015</v>
          </cell>
        </row>
        <row r="240">
          <cell r="A240">
            <v>43069</v>
          </cell>
          <cell r="B240">
            <v>10.662798099308695</v>
          </cell>
          <cell r="C240">
            <v>-2.5769644161076801</v>
          </cell>
        </row>
        <row r="241">
          <cell r="A241">
            <v>43100</v>
          </cell>
          <cell r="B241">
            <v>10.334122696964837</v>
          </cell>
          <cell r="C241">
            <v>-2.8178264648511018</v>
          </cell>
        </row>
        <row r="242">
          <cell r="A242">
            <v>43131</v>
          </cell>
          <cell r="B242">
            <v>10.086157084670617</v>
          </cell>
          <cell r="C242">
            <v>-2.8302829709313979</v>
          </cell>
        </row>
        <row r="243">
          <cell r="A243">
            <v>43159</v>
          </cell>
          <cell r="B243">
            <v>9.8839108952923116</v>
          </cell>
          <cell r="C243">
            <v>-2.7878709571364251</v>
          </cell>
        </row>
        <row r="244">
          <cell r="A244">
            <v>43190</v>
          </cell>
          <cell r="B244">
            <v>9.7159960626202988</v>
          </cell>
          <cell r="C244">
            <v>-2.6924780859655471</v>
          </cell>
        </row>
        <row r="245">
          <cell r="A245">
            <v>43220</v>
          </cell>
          <cell r="B245">
            <v>9.4911294510247206</v>
          </cell>
          <cell r="C245">
            <v>-2.6297746390978922</v>
          </cell>
        </row>
        <row r="246">
          <cell r="A246">
            <v>43251</v>
          </cell>
          <cell r="B246">
            <v>9.5103381075957412</v>
          </cell>
          <cell r="C246">
            <v>-2.2771898386949943</v>
          </cell>
        </row>
        <row r="247">
          <cell r="A247">
            <v>43281</v>
          </cell>
          <cell r="B247">
            <v>9.537429292499132</v>
          </cell>
          <cell r="C247">
            <v>-2.0045131235961957</v>
          </cell>
        </row>
        <row r="248">
          <cell r="A248">
            <v>43312</v>
          </cell>
          <cell r="B248">
            <v>9.2213653888363805</v>
          </cell>
          <cell r="C248">
            <v>-2.2410373269202637</v>
          </cell>
        </row>
        <row r="249">
          <cell r="A249">
            <v>43343</v>
          </cell>
          <cell r="B249">
            <v>9.0653845943608342</v>
          </cell>
          <cell r="C249">
            <v>-2.3457480152627088</v>
          </cell>
        </row>
        <row r="250">
          <cell r="A250">
            <v>43373</v>
          </cell>
          <cell r="B250">
            <v>8.741767372263384</v>
          </cell>
          <cell r="C250">
            <v>-2.3665872883461727</v>
          </cell>
        </row>
        <row r="251">
          <cell r="A251">
            <v>43404</v>
          </cell>
          <cell r="B251">
            <v>8.5499267795141147</v>
          </cell>
          <cell r="C251">
            <v>-2.2977928814230566</v>
          </cell>
        </row>
        <row r="252">
          <cell r="A252">
            <v>43434</v>
          </cell>
          <cell r="B252">
            <v>8.3205469550510855</v>
          </cell>
          <cell r="C252">
            <v>-2.3422511442576095</v>
          </cell>
        </row>
        <row r="253">
          <cell r="A253">
            <v>43465</v>
          </cell>
          <cell r="B253">
            <v>8.122957497622382</v>
          </cell>
          <cell r="C253">
            <v>-2.2111651993424548</v>
          </cell>
        </row>
        <row r="254">
          <cell r="A254">
            <v>43496</v>
          </cell>
          <cell r="B254">
            <v>8.138170087034025</v>
          </cell>
          <cell r="C254">
            <v>-1.9479869976365922</v>
          </cell>
        </row>
        <row r="255">
          <cell r="A255">
            <v>43524</v>
          </cell>
          <cell r="B255">
            <v>8.0483508930602419</v>
          </cell>
          <cell r="C255">
            <v>-1.8355600022320697</v>
          </cell>
        </row>
        <row r="256">
          <cell r="A256">
            <v>43555</v>
          </cell>
          <cell r="B256">
            <v>7.8784356463696268</v>
          </cell>
          <cell r="C256">
            <v>-1.837560416250672</v>
          </cell>
        </row>
        <row r="257">
          <cell r="A257">
            <v>43585</v>
          </cell>
          <cell r="B257">
            <v>7.9275646313469759</v>
          </cell>
          <cell r="C257">
            <v>-1.5635648196777447</v>
          </cell>
        </row>
        <row r="258">
          <cell r="A258">
            <v>43616</v>
          </cell>
          <cell r="B258">
            <v>7.9054893335441285</v>
          </cell>
          <cell r="C258">
            <v>-1.6048487740516126</v>
          </cell>
        </row>
        <row r="259">
          <cell r="A259">
            <v>43646</v>
          </cell>
          <cell r="B259">
            <v>7.9497838517455675</v>
          </cell>
          <cell r="C259">
            <v>-1.5876454407535645</v>
          </cell>
        </row>
        <row r="260">
          <cell r="A260">
            <v>43677</v>
          </cell>
          <cell r="B260">
            <v>7.9383939891725497</v>
          </cell>
          <cell r="C260">
            <v>-1.2829713996638308</v>
          </cell>
        </row>
        <row r="261">
          <cell r="A261">
            <v>43708</v>
          </cell>
          <cell r="B261">
            <v>7.8815289289882617</v>
          </cell>
          <cell r="C261">
            <v>-1.1838556653725725</v>
          </cell>
        </row>
        <row r="262">
          <cell r="A262">
            <v>43738</v>
          </cell>
          <cell r="B262">
            <v>7.607520072909888</v>
          </cell>
          <cell r="C262">
            <v>-1.134247299353496</v>
          </cell>
        </row>
        <row r="263">
          <cell r="A263">
            <v>43769</v>
          </cell>
          <cell r="B263">
            <v>7.4069539440435239</v>
          </cell>
          <cell r="C263">
            <v>-1.1429728354705908</v>
          </cell>
        </row>
        <row r="264">
          <cell r="A264">
            <v>43799</v>
          </cell>
          <cell r="B264">
            <v>7.2644760580969283</v>
          </cell>
          <cell r="C264">
            <v>-1.0560708969541572</v>
          </cell>
        </row>
        <row r="265">
          <cell r="A265">
            <v>43830</v>
          </cell>
          <cell r="B265">
            <v>7.1668411358915645</v>
          </cell>
          <cell r="C265">
            <v>-0.95611636173081749</v>
          </cell>
        </row>
        <row r="266">
          <cell r="A266">
            <v>43861</v>
          </cell>
          <cell r="B266">
            <v>6.902082178151101</v>
          </cell>
          <cell r="C266">
            <v>-1.236087908882924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"/>
      <sheetName val="m1"/>
      <sheetName val="m2"/>
      <sheetName val="m3"/>
      <sheetName val="m4"/>
      <sheetName val="m5"/>
      <sheetName val="m6"/>
      <sheetName val="m7"/>
      <sheetName val="m8"/>
      <sheetName val="m9"/>
      <sheetName val="data_promjene"/>
      <sheetName val="data_razine"/>
      <sheetName val="stabilnost_ko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1">
          <cell r="J81">
            <v>5.822063210362316</v>
          </cell>
        </row>
        <row r="82">
          <cell r="J82">
            <v>3.930817935408129</v>
          </cell>
        </row>
        <row r="83">
          <cell r="J83">
            <v>3.2102955598253544</v>
          </cell>
        </row>
        <row r="84">
          <cell r="J84">
            <v>0.89900108462511241</v>
          </cell>
        </row>
        <row r="88">
          <cell r="J88">
            <v>5.822063210362316</v>
          </cell>
        </row>
        <row r="89">
          <cell r="J89">
            <v>3.930817935408129</v>
          </cell>
        </row>
        <row r="90">
          <cell r="J90">
            <v>3.2102955598253544</v>
          </cell>
        </row>
        <row r="91">
          <cell r="J91">
            <v>0.89900108462511241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3" workbookViewId="0">
      <selection activeCell="S20" sqref="S20"/>
    </sheetView>
  </sheetViews>
  <sheetFormatPr defaultRowHeight="13.8"/>
  <cols>
    <col min="1" max="16384" width="8.796875" style="338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"/>
  <sheetViews>
    <sheetView topLeftCell="B49" zoomScale="101" workbookViewId="0">
      <selection activeCell="N75" sqref="N75"/>
    </sheetView>
  </sheetViews>
  <sheetFormatPr defaultRowHeight="13.8"/>
  <cols>
    <col min="1" max="1" width="9.296875" bestFit="1" customWidth="1"/>
    <col min="2" max="2" width="8.3984375" bestFit="1" customWidth="1"/>
    <col min="3" max="3" width="7.8984375" bestFit="1" customWidth="1"/>
    <col min="4" max="4" width="8.296875" bestFit="1" customWidth="1"/>
    <col min="5" max="6" width="8.5" bestFit="1" customWidth="1"/>
    <col min="7" max="7" width="9.5" bestFit="1" customWidth="1"/>
    <col min="8" max="8" width="10" bestFit="1" customWidth="1"/>
    <col min="9" max="9" width="1.59765625" customWidth="1"/>
    <col min="10" max="10" width="10" style="306" bestFit="1" customWidth="1"/>
    <col min="11" max="11" width="9.5" style="306" bestFit="1" customWidth="1"/>
    <col min="12" max="12" width="8" style="306" bestFit="1" customWidth="1"/>
    <col min="13" max="42" width="8.796875" style="306"/>
  </cols>
  <sheetData>
    <row r="1" spans="1:42" s="305" customFormat="1" ht="14.4">
      <c r="B1" s="370" t="s">
        <v>5</v>
      </c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06"/>
      <c r="N1" s="397" t="s">
        <v>6</v>
      </c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06"/>
      <c r="Z1" s="398" t="s">
        <v>7</v>
      </c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06"/>
      <c r="AL1" s="306"/>
      <c r="AM1" s="306"/>
      <c r="AN1" s="306"/>
      <c r="AO1" s="306"/>
      <c r="AP1" s="306"/>
    </row>
    <row r="2" spans="1:42">
      <c r="A2" s="306" t="s">
        <v>9</v>
      </c>
      <c r="B2" s="315" t="s">
        <v>972</v>
      </c>
      <c r="C2" s="306" t="s">
        <v>973</v>
      </c>
      <c r="D2" s="306" t="s">
        <v>974</v>
      </c>
      <c r="E2" s="306" t="s">
        <v>975</v>
      </c>
      <c r="F2" s="306" t="s">
        <v>976</v>
      </c>
      <c r="G2" s="306" t="s">
        <v>978</v>
      </c>
      <c r="H2" s="306" t="s">
        <v>979</v>
      </c>
      <c r="I2" s="306"/>
      <c r="J2" s="306" t="s">
        <v>991</v>
      </c>
      <c r="K2" s="306" t="s">
        <v>992</v>
      </c>
      <c r="L2" s="306" t="s">
        <v>993</v>
      </c>
      <c r="N2" s="315" t="s">
        <v>972</v>
      </c>
      <c r="O2" s="306" t="s">
        <v>973</v>
      </c>
      <c r="P2" s="306" t="s">
        <v>974</v>
      </c>
      <c r="Q2" s="306" t="s">
        <v>975</v>
      </c>
      <c r="R2" s="306" t="s">
        <v>976</v>
      </c>
      <c r="S2" s="306" t="s">
        <v>978</v>
      </c>
      <c r="T2" s="306" t="s">
        <v>979</v>
      </c>
      <c r="V2" s="306" t="s">
        <v>991</v>
      </c>
      <c r="W2" s="306" t="s">
        <v>992</v>
      </c>
      <c r="X2" s="306" t="s">
        <v>993</v>
      </c>
      <c r="Z2" s="315" t="s">
        <v>972</v>
      </c>
      <c r="AA2" s="306" t="s">
        <v>973</v>
      </c>
      <c r="AB2" s="306" t="s">
        <v>974</v>
      </c>
      <c r="AC2" s="306" t="s">
        <v>975</v>
      </c>
      <c r="AD2" s="306" t="s">
        <v>976</v>
      </c>
      <c r="AE2" s="306" t="s">
        <v>978</v>
      </c>
      <c r="AF2" s="306" t="s">
        <v>979</v>
      </c>
      <c r="AH2" s="306" t="s">
        <v>991</v>
      </c>
      <c r="AI2" s="306" t="s">
        <v>992</v>
      </c>
      <c r="AJ2" s="306" t="s">
        <v>993</v>
      </c>
      <c r="AP2"/>
    </row>
    <row r="3" spans="1:42">
      <c r="A3" s="307">
        <v>37346</v>
      </c>
      <c r="B3" s="315">
        <v>6.86</v>
      </c>
      <c r="C3" s="306">
        <v>5</v>
      </c>
      <c r="D3" s="306">
        <v>37.4</v>
      </c>
      <c r="E3" s="314">
        <v>-1.3</v>
      </c>
      <c r="F3" s="314">
        <v>4.4340461538461502E-2</v>
      </c>
      <c r="G3" s="314">
        <v>3.95818489553263</v>
      </c>
      <c r="H3" s="306">
        <v>1</v>
      </c>
      <c r="I3" s="314"/>
      <c r="J3" s="309">
        <f t="shared" ref="J3:J34" si="0">$C$80+$B$83*C3+$B$84*D3+$B$85*E3+$B$86*H3</f>
        <v>5.4944638699999988</v>
      </c>
      <c r="K3" s="309">
        <f t="shared" ref="K3:K34" si="1">B3-J3</f>
        <v>1.3655361300000015</v>
      </c>
      <c r="N3" s="315">
        <v>6.86</v>
      </c>
      <c r="O3" s="306">
        <v>5</v>
      </c>
      <c r="P3" s="306">
        <v>37.4</v>
      </c>
      <c r="Q3" s="314">
        <v>-1.3</v>
      </c>
      <c r="R3" s="314">
        <v>4.4340461538461502E-2</v>
      </c>
      <c r="S3" s="314">
        <v>3.95818489553263</v>
      </c>
      <c r="T3" s="306">
        <v>1</v>
      </c>
      <c r="U3" s="314"/>
      <c r="V3" s="309">
        <f t="shared" ref="V3:V34" si="2">$C$80+$B$83*O3+$B$84*P3+$B$85*Q3+$B$86*T3</f>
        <v>5.4944638699999988</v>
      </c>
      <c r="W3" s="309">
        <f t="shared" ref="W3:W34" si="3">N3-V3</f>
        <v>1.3655361300000015</v>
      </c>
      <c r="Z3" s="315">
        <v>6.86</v>
      </c>
      <c r="AA3" s="306">
        <v>5</v>
      </c>
      <c r="AB3" s="306">
        <v>37.4</v>
      </c>
      <c r="AC3" s="314">
        <v>-1.3</v>
      </c>
      <c r="AD3" s="314">
        <v>4.4340461538461502E-2</v>
      </c>
      <c r="AE3" s="314">
        <v>3.95818489553263</v>
      </c>
      <c r="AF3" s="306">
        <v>1</v>
      </c>
      <c r="AG3" s="314"/>
      <c r="AH3" s="309">
        <f t="shared" ref="AH3:AH34" si="4">$C$80+$B$83*AA3+$B$84*AB3+$B$85*AC3+$B$86*AF3</f>
        <v>5.4944638699999988</v>
      </c>
      <c r="AI3" s="309">
        <f t="shared" ref="AI3:AI34" si="5">Z3-AH3</f>
        <v>1.3655361300000015</v>
      </c>
      <c r="AP3"/>
    </row>
    <row r="4" spans="1:42">
      <c r="A4" s="307">
        <v>37437</v>
      </c>
      <c r="B4" s="315">
        <v>7.03</v>
      </c>
      <c r="C4" s="306">
        <v>5.21</v>
      </c>
      <c r="D4" s="306">
        <v>36.4</v>
      </c>
      <c r="E4" s="314">
        <v>-2.2250000000000001</v>
      </c>
      <c r="F4" s="314">
        <v>3.5902923076923103E-2</v>
      </c>
      <c r="G4" s="314">
        <v>4.0445352696171399</v>
      </c>
      <c r="H4" s="306">
        <v>1</v>
      </c>
      <c r="I4" s="314"/>
      <c r="J4" s="309">
        <f t="shared" si="0"/>
        <v>6.0100011054999989</v>
      </c>
      <c r="K4" s="309">
        <f t="shared" si="1"/>
        <v>1.0199988945000014</v>
      </c>
      <c r="L4" s="309">
        <f t="shared" ref="L4:L35" si="6">$B$89+$B$90*K3+$B$91*(C4-C3)+$B$92*(D4-D3)+$B$93*(E4-E3)+$B$94*(H4-H3)+$B$95*F4+$B$96*G4</f>
        <v>-0.15436587219774756</v>
      </c>
      <c r="N4" s="315">
        <v>7.03</v>
      </c>
      <c r="O4" s="306">
        <v>5.21</v>
      </c>
      <c r="P4" s="306">
        <v>36.4</v>
      </c>
      <c r="Q4" s="314">
        <v>-2.2250000000000001</v>
      </c>
      <c r="R4" s="314">
        <v>3.5902923076923103E-2</v>
      </c>
      <c r="S4" s="314">
        <v>4.0445352696171399</v>
      </c>
      <c r="T4" s="306">
        <v>1</v>
      </c>
      <c r="U4" s="314"/>
      <c r="V4" s="309">
        <f t="shared" si="2"/>
        <v>6.0100011054999989</v>
      </c>
      <c r="W4" s="309">
        <f t="shared" si="3"/>
        <v>1.0199988945000014</v>
      </c>
      <c r="X4" s="309">
        <f t="shared" ref="X4:X35" si="7">$B$89+$B$90*W3+$B$91*(O4-O3)+$B$92*(P4-P3)+$B$93*(Q4-Q3)+$B$94*(T4-T3)+$B$95*R4+$B$96*S4</f>
        <v>-0.15436587219774756</v>
      </c>
      <c r="Z4" s="315">
        <v>7.03</v>
      </c>
      <c r="AA4" s="306">
        <v>5.21</v>
      </c>
      <c r="AB4" s="306">
        <v>36.4</v>
      </c>
      <c r="AC4" s="314">
        <v>-2.2250000000000001</v>
      </c>
      <c r="AD4" s="314">
        <v>3.5902923076923103E-2</v>
      </c>
      <c r="AE4" s="314">
        <v>4.0445352696171399</v>
      </c>
      <c r="AF4" s="306">
        <v>1</v>
      </c>
      <c r="AG4" s="314"/>
      <c r="AH4" s="309">
        <f t="shared" si="4"/>
        <v>6.0100011054999989</v>
      </c>
      <c r="AI4" s="309">
        <f t="shared" si="5"/>
        <v>1.0199988945000014</v>
      </c>
      <c r="AJ4" s="309">
        <f t="shared" ref="AJ4:AJ35" si="8">$B$89+$B$90*AI3+$B$91*(AA4-AA3)+$B$92*(AB4-AB3)+$B$93*(AC4-AC3)+$B$94*(AF4-AF3)+$B$95*AD4+$B$96*AE4</f>
        <v>-0.15436587219774756</v>
      </c>
      <c r="AP4"/>
    </row>
    <row r="5" spans="1:42">
      <c r="A5" s="307">
        <v>37529</v>
      </c>
      <c r="B5" s="315">
        <v>7.22</v>
      </c>
      <c r="C5" s="306">
        <v>4.62</v>
      </c>
      <c r="D5" s="306">
        <v>35.9</v>
      </c>
      <c r="E5" s="314">
        <v>-3</v>
      </c>
      <c r="F5" s="314">
        <v>5.6005846153846198E-2</v>
      </c>
      <c r="G5" s="314">
        <v>4.8039781434042297</v>
      </c>
      <c r="H5" s="306">
        <v>1</v>
      </c>
      <c r="I5" s="314"/>
      <c r="J5" s="309">
        <f t="shared" si="0"/>
        <v>5.692372645999999</v>
      </c>
      <c r="K5" s="309">
        <f t="shared" si="1"/>
        <v>1.5276273540000007</v>
      </c>
      <c r="L5" s="309">
        <f t="shared" si="6"/>
        <v>-0.32083180591975524</v>
      </c>
      <c r="N5" s="315">
        <v>7.22</v>
      </c>
      <c r="O5" s="306">
        <v>4.62</v>
      </c>
      <c r="P5" s="306">
        <v>35.9</v>
      </c>
      <c r="Q5" s="314">
        <v>-3</v>
      </c>
      <c r="R5" s="314">
        <v>5.6005846153846198E-2</v>
      </c>
      <c r="S5" s="314">
        <v>4.8039781434042297</v>
      </c>
      <c r="T5" s="306">
        <v>1</v>
      </c>
      <c r="U5" s="314"/>
      <c r="V5" s="309">
        <f t="shared" si="2"/>
        <v>5.692372645999999</v>
      </c>
      <c r="W5" s="309">
        <f t="shared" si="3"/>
        <v>1.5276273540000007</v>
      </c>
      <c r="X5" s="309">
        <f t="shared" si="7"/>
        <v>-0.32083180591975524</v>
      </c>
      <c r="Z5" s="315">
        <v>7.22</v>
      </c>
      <c r="AA5" s="306">
        <v>4.62</v>
      </c>
      <c r="AB5" s="306">
        <v>35.9</v>
      </c>
      <c r="AC5" s="314">
        <v>-3</v>
      </c>
      <c r="AD5" s="314">
        <v>5.6005846153846198E-2</v>
      </c>
      <c r="AE5" s="314">
        <v>4.8039781434042297</v>
      </c>
      <c r="AF5" s="306">
        <v>1</v>
      </c>
      <c r="AG5" s="314"/>
      <c r="AH5" s="309">
        <f t="shared" si="4"/>
        <v>5.692372645999999</v>
      </c>
      <c r="AI5" s="309">
        <f t="shared" si="5"/>
        <v>1.5276273540000007</v>
      </c>
      <c r="AJ5" s="309">
        <f t="shared" si="8"/>
        <v>-0.32083180591975524</v>
      </c>
      <c r="AP5"/>
    </row>
    <row r="6" spans="1:42">
      <c r="A6" s="307">
        <v>37621</v>
      </c>
      <c r="B6" s="315">
        <v>6.81</v>
      </c>
      <c r="C6" s="306">
        <v>3.91</v>
      </c>
      <c r="D6" s="306">
        <v>36.799999999999997</v>
      </c>
      <c r="E6" s="314">
        <v>-3.4750000000000001</v>
      </c>
      <c r="F6" s="314">
        <v>4.5412769230769201E-2</v>
      </c>
      <c r="G6" s="314">
        <v>5.1158589981854501</v>
      </c>
      <c r="H6" s="306">
        <v>1</v>
      </c>
      <c r="I6" s="314"/>
      <c r="J6" s="309">
        <f t="shared" si="0"/>
        <v>5.1368167005000007</v>
      </c>
      <c r="K6" s="309">
        <f t="shared" si="1"/>
        <v>1.6731832994999989</v>
      </c>
      <c r="L6" s="309">
        <f t="shared" si="6"/>
        <v>-0.47498477861153443</v>
      </c>
      <c r="N6" s="315">
        <v>6.81</v>
      </c>
      <c r="O6" s="306">
        <v>3.91</v>
      </c>
      <c r="P6" s="306">
        <v>36.799999999999997</v>
      </c>
      <c r="Q6" s="314">
        <v>-3.4750000000000001</v>
      </c>
      <c r="R6" s="314">
        <v>4.5412769230769201E-2</v>
      </c>
      <c r="S6" s="314">
        <v>5.1158589981854501</v>
      </c>
      <c r="T6" s="306">
        <v>1</v>
      </c>
      <c r="U6" s="314"/>
      <c r="V6" s="309">
        <f t="shared" si="2"/>
        <v>5.1368167005000007</v>
      </c>
      <c r="W6" s="309">
        <f t="shared" si="3"/>
        <v>1.6731832994999989</v>
      </c>
      <c r="X6" s="309">
        <f t="shared" si="7"/>
        <v>-0.47498477861153443</v>
      </c>
      <c r="Z6" s="315">
        <v>6.81</v>
      </c>
      <c r="AA6" s="306">
        <v>3.91</v>
      </c>
      <c r="AB6" s="306">
        <v>36.799999999999997</v>
      </c>
      <c r="AC6" s="314">
        <v>-3.4750000000000001</v>
      </c>
      <c r="AD6" s="314">
        <v>4.5412769230769201E-2</v>
      </c>
      <c r="AE6" s="314">
        <v>5.1158589981854501</v>
      </c>
      <c r="AF6" s="306">
        <v>1</v>
      </c>
      <c r="AG6" s="314"/>
      <c r="AH6" s="309">
        <f t="shared" si="4"/>
        <v>5.1368167005000007</v>
      </c>
      <c r="AI6" s="309">
        <f t="shared" si="5"/>
        <v>1.6731832994999989</v>
      </c>
      <c r="AJ6" s="309">
        <f t="shared" si="8"/>
        <v>-0.47498477861153443</v>
      </c>
      <c r="AP6"/>
    </row>
    <row r="7" spans="1:42">
      <c r="A7" s="307">
        <v>37711</v>
      </c>
      <c r="B7" s="315">
        <v>6.18</v>
      </c>
      <c r="C7" s="306">
        <v>4.0199999999999996</v>
      </c>
      <c r="D7" s="306">
        <v>39.200000000000003</v>
      </c>
      <c r="E7" s="314">
        <v>-3.65</v>
      </c>
      <c r="F7" s="314">
        <v>3.3751538461538499E-2</v>
      </c>
      <c r="G7" s="314">
        <v>5.1765987072725599</v>
      </c>
      <c r="H7" s="306">
        <v>1</v>
      </c>
      <c r="I7" s="314"/>
      <c r="J7" s="309">
        <f t="shared" si="0"/>
        <v>5.2534811909999988</v>
      </c>
      <c r="K7" s="309">
        <f t="shared" si="1"/>
        <v>0.92651880900000094</v>
      </c>
      <c r="L7" s="309">
        <f t="shared" si="6"/>
        <v>-0.20984659765806257</v>
      </c>
      <c r="N7" s="315">
        <v>6.18</v>
      </c>
      <c r="O7" s="306">
        <v>4.0199999999999996</v>
      </c>
      <c r="P7" s="306">
        <v>39.200000000000003</v>
      </c>
      <c r="Q7" s="314">
        <v>-3.65</v>
      </c>
      <c r="R7" s="314">
        <v>3.3751538461538499E-2</v>
      </c>
      <c r="S7" s="314">
        <v>5.1765987072725599</v>
      </c>
      <c r="T7" s="306">
        <v>1</v>
      </c>
      <c r="U7" s="314"/>
      <c r="V7" s="309">
        <f t="shared" si="2"/>
        <v>5.2534811909999988</v>
      </c>
      <c r="W7" s="309">
        <f t="shared" si="3"/>
        <v>0.92651880900000094</v>
      </c>
      <c r="X7" s="309">
        <f t="shared" si="7"/>
        <v>-0.20984659765806257</v>
      </c>
      <c r="Z7" s="315">
        <v>6.18</v>
      </c>
      <c r="AA7" s="306">
        <v>4.0199999999999996</v>
      </c>
      <c r="AB7" s="306">
        <v>39.200000000000003</v>
      </c>
      <c r="AC7" s="314">
        <v>-3.65</v>
      </c>
      <c r="AD7" s="314">
        <v>3.3751538461538499E-2</v>
      </c>
      <c r="AE7" s="314">
        <v>5.1765987072725599</v>
      </c>
      <c r="AF7" s="306">
        <v>1</v>
      </c>
      <c r="AG7" s="314"/>
      <c r="AH7" s="309">
        <f t="shared" si="4"/>
        <v>5.2534811909999988</v>
      </c>
      <c r="AI7" s="309">
        <f t="shared" si="5"/>
        <v>0.92651880900000094</v>
      </c>
      <c r="AJ7" s="309">
        <f t="shared" si="8"/>
        <v>-0.20984659765806257</v>
      </c>
      <c r="AP7"/>
    </row>
    <row r="8" spans="1:42">
      <c r="A8" s="307">
        <v>37802</v>
      </c>
      <c r="B8" s="315">
        <v>5.89</v>
      </c>
      <c r="C8" s="306">
        <v>3.94</v>
      </c>
      <c r="D8" s="306">
        <v>38.700000000000003</v>
      </c>
      <c r="E8" s="314">
        <v>-4.4000000000000004</v>
      </c>
      <c r="F8" s="314">
        <v>3.23933076923077E-2</v>
      </c>
      <c r="G8" s="314">
        <v>5.61274595066135</v>
      </c>
      <c r="H8" s="306">
        <v>1</v>
      </c>
      <c r="I8" s="314"/>
      <c r="J8" s="309">
        <f t="shared" si="0"/>
        <v>5.4227696419999987</v>
      </c>
      <c r="K8" s="309">
        <f t="shared" si="1"/>
        <v>0.46723035800000101</v>
      </c>
      <c r="L8" s="309">
        <f t="shared" si="6"/>
        <v>-0.22147466641921046</v>
      </c>
      <c r="N8" s="315">
        <v>5.89</v>
      </c>
      <c r="O8" s="306">
        <v>3.94</v>
      </c>
      <c r="P8" s="306">
        <v>38.700000000000003</v>
      </c>
      <c r="Q8" s="314">
        <v>-4.4000000000000004</v>
      </c>
      <c r="R8" s="314">
        <v>3.23933076923077E-2</v>
      </c>
      <c r="S8" s="314">
        <v>5.61274595066135</v>
      </c>
      <c r="T8" s="306">
        <v>1</v>
      </c>
      <c r="U8" s="314"/>
      <c r="V8" s="309">
        <f t="shared" si="2"/>
        <v>5.4227696419999987</v>
      </c>
      <c r="W8" s="309">
        <f t="shared" si="3"/>
        <v>0.46723035800000101</v>
      </c>
      <c r="X8" s="309">
        <f t="shared" si="7"/>
        <v>-0.22147466641921046</v>
      </c>
      <c r="Z8" s="315">
        <v>5.89</v>
      </c>
      <c r="AA8" s="306">
        <v>3.94</v>
      </c>
      <c r="AB8" s="306">
        <v>38.700000000000003</v>
      </c>
      <c r="AC8" s="314">
        <v>-4.4000000000000004</v>
      </c>
      <c r="AD8" s="314">
        <v>3.23933076923077E-2</v>
      </c>
      <c r="AE8" s="314">
        <v>5.61274595066135</v>
      </c>
      <c r="AF8" s="306">
        <v>1</v>
      </c>
      <c r="AG8" s="314"/>
      <c r="AH8" s="309">
        <f t="shared" si="4"/>
        <v>5.4227696419999987</v>
      </c>
      <c r="AI8" s="309">
        <f t="shared" si="5"/>
        <v>0.46723035800000101</v>
      </c>
      <c r="AJ8" s="309">
        <f t="shared" si="8"/>
        <v>-0.22147466641921046</v>
      </c>
      <c r="AP8"/>
    </row>
    <row r="9" spans="1:42">
      <c r="A9" s="307">
        <v>37894</v>
      </c>
      <c r="B9" s="315">
        <v>5.7</v>
      </c>
      <c r="C9" s="306">
        <v>3.93</v>
      </c>
      <c r="D9" s="306">
        <v>38.299999999999997</v>
      </c>
      <c r="E9" s="314">
        <v>-5</v>
      </c>
      <c r="F9" s="314">
        <v>2.3047923076923101E-2</v>
      </c>
      <c r="G9" s="314">
        <v>5.3538403174051101</v>
      </c>
      <c r="H9" s="306">
        <v>1</v>
      </c>
      <c r="I9" s="314"/>
      <c r="J9" s="309">
        <f t="shared" si="0"/>
        <v>5.6105943239999991</v>
      </c>
      <c r="K9" s="309">
        <f t="shared" si="1"/>
        <v>8.9405676000001044E-2</v>
      </c>
      <c r="L9" s="309">
        <f t="shared" si="6"/>
        <v>-0.20196602369010824</v>
      </c>
      <c r="N9" s="315">
        <v>5.7</v>
      </c>
      <c r="O9" s="306">
        <v>3.93</v>
      </c>
      <c r="P9" s="306">
        <v>38.299999999999997</v>
      </c>
      <c r="Q9" s="314">
        <v>-5</v>
      </c>
      <c r="R9" s="314">
        <v>2.3047923076923101E-2</v>
      </c>
      <c r="S9" s="314">
        <v>5.3538403174051101</v>
      </c>
      <c r="T9" s="306">
        <v>1</v>
      </c>
      <c r="U9" s="314"/>
      <c r="V9" s="309">
        <f t="shared" si="2"/>
        <v>5.6105943239999991</v>
      </c>
      <c r="W9" s="309">
        <f t="shared" si="3"/>
        <v>8.9405676000001044E-2</v>
      </c>
      <c r="X9" s="309">
        <f t="shared" si="7"/>
        <v>-0.20196602369010824</v>
      </c>
      <c r="Z9" s="315">
        <v>5.7</v>
      </c>
      <c r="AA9" s="306">
        <v>3.93</v>
      </c>
      <c r="AB9" s="306">
        <v>38.299999999999997</v>
      </c>
      <c r="AC9" s="314">
        <v>-5</v>
      </c>
      <c r="AD9" s="314">
        <v>2.3047923076923101E-2</v>
      </c>
      <c r="AE9" s="314">
        <v>5.3538403174051101</v>
      </c>
      <c r="AF9" s="306">
        <v>1</v>
      </c>
      <c r="AG9" s="314"/>
      <c r="AH9" s="309">
        <f t="shared" si="4"/>
        <v>5.6105943239999991</v>
      </c>
      <c r="AI9" s="309">
        <f t="shared" si="5"/>
        <v>8.9405676000001044E-2</v>
      </c>
      <c r="AJ9" s="309">
        <f t="shared" si="8"/>
        <v>-0.20196602369010824</v>
      </c>
      <c r="AP9"/>
    </row>
    <row r="10" spans="1:42">
      <c r="A10" s="307">
        <v>37986</v>
      </c>
      <c r="B10" s="315">
        <v>5.48</v>
      </c>
      <c r="C10" s="306">
        <v>4.2699999999999996</v>
      </c>
      <c r="D10" s="306">
        <v>38.200000000000003</v>
      </c>
      <c r="E10" s="314">
        <v>-4.625</v>
      </c>
      <c r="F10" s="314">
        <v>2.1080076923076899E-2</v>
      </c>
      <c r="G10" s="314">
        <v>5.6406774349398603</v>
      </c>
      <c r="H10" s="306">
        <v>1</v>
      </c>
      <c r="I10" s="314"/>
      <c r="J10" s="309">
        <f t="shared" si="0"/>
        <v>5.8236578734999984</v>
      </c>
      <c r="K10" s="309">
        <f t="shared" si="1"/>
        <v>-0.34365787349999799</v>
      </c>
      <c r="L10" s="309">
        <f t="shared" si="6"/>
        <v>-6.5433864199618025E-2</v>
      </c>
      <c r="N10" s="315">
        <v>5.48</v>
      </c>
      <c r="O10" s="306">
        <v>4.2699999999999996</v>
      </c>
      <c r="P10" s="306">
        <v>38.200000000000003</v>
      </c>
      <c r="Q10" s="314">
        <v>-4.625</v>
      </c>
      <c r="R10" s="314">
        <v>2.1080076923076899E-2</v>
      </c>
      <c r="S10" s="314">
        <v>5.6406774349398603</v>
      </c>
      <c r="T10" s="306">
        <v>1</v>
      </c>
      <c r="U10" s="314"/>
      <c r="V10" s="309">
        <f t="shared" si="2"/>
        <v>5.8236578734999984</v>
      </c>
      <c r="W10" s="309">
        <f t="shared" si="3"/>
        <v>-0.34365787349999799</v>
      </c>
      <c r="X10" s="309">
        <f t="shared" si="7"/>
        <v>-6.5433864199618025E-2</v>
      </c>
      <c r="Z10" s="315">
        <v>5.48</v>
      </c>
      <c r="AA10" s="306">
        <v>4.2699999999999996</v>
      </c>
      <c r="AB10" s="306">
        <v>38.200000000000003</v>
      </c>
      <c r="AC10" s="314">
        <v>-4.625</v>
      </c>
      <c r="AD10" s="314">
        <v>2.1080076923076899E-2</v>
      </c>
      <c r="AE10" s="314">
        <v>5.6406774349398603</v>
      </c>
      <c r="AF10" s="306">
        <v>1</v>
      </c>
      <c r="AG10" s="314"/>
      <c r="AH10" s="309">
        <f t="shared" si="4"/>
        <v>5.8236578734999984</v>
      </c>
      <c r="AI10" s="309">
        <f t="shared" si="5"/>
        <v>-0.34365787349999799</v>
      </c>
      <c r="AJ10" s="309">
        <f t="shared" si="8"/>
        <v>-6.5433864199618025E-2</v>
      </c>
      <c r="AP10"/>
    </row>
    <row r="11" spans="1:42">
      <c r="A11" s="307">
        <v>38077</v>
      </c>
      <c r="B11" s="315">
        <v>5.57</v>
      </c>
      <c r="C11" s="306">
        <v>4.13</v>
      </c>
      <c r="D11" s="306">
        <v>38.5</v>
      </c>
      <c r="E11" s="314">
        <v>-4.3</v>
      </c>
      <c r="F11" s="314">
        <v>1.8234076923076901E-2</v>
      </c>
      <c r="G11" s="314">
        <v>5.3609649427818402</v>
      </c>
      <c r="H11" s="306">
        <v>1</v>
      </c>
      <c r="I11" s="314"/>
      <c r="J11" s="309">
        <f t="shared" si="0"/>
        <v>5.5792491739999992</v>
      </c>
      <c r="K11" s="309">
        <f t="shared" si="1"/>
        <v>-9.2491739999989164E-3</v>
      </c>
      <c r="L11" s="309">
        <f t="shared" si="6"/>
        <v>-0.22449540337204105</v>
      </c>
      <c r="N11" s="315">
        <v>5.57</v>
      </c>
      <c r="O11" s="306">
        <v>4.13</v>
      </c>
      <c r="P11" s="306">
        <v>38.5</v>
      </c>
      <c r="Q11" s="314">
        <v>-4.3</v>
      </c>
      <c r="R11" s="314">
        <v>1.8234076923076901E-2</v>
      </c>
      <c r="S11" s="314">
        <v>5.3609649427818402</v>
      </c>
      <c r="T11" s="306">
        <v>1</v>
      </c>
      <c r="U11" s="314"/>
      <c r="V11" s="309">
        <f t="shared" si="2"/>
        <v>5.5792491739999992</v>
      </c>
      <c r="W11" s="309">
        <f t="shared" si="3"/>
        <v>-9.2491739999989164E-3</v>
      </c>
      <c r="X11" s="309">
        <f t="shared" si="7"/>
        <v>-0.22449540337204105</v>
      </c>
      <c r="Z11" s="315">
        <v>5.57</v>
      </c>
      <c r="AA11" s="306">
        <v>4.13</v>
      </c>
      <c r="AB11" s="306">
        <v>38.5</v>
      </c>
      <c r="AC11" s="314">
        <v>-4.3</v>
      </c>
      <c r="AD11" s="314">
        <v>1.8234076923076901E-2</v>
      </c>
      <c r="AE11" s="314">
        <v>5.3609649427818402</v>
      </c>
      <c r="AF11" s="306">
        <v>1</v>
      </c>
      <c r="AG11" s="314"/>
      <c r="AH11" s="309">
        <f t="shared" si="4"/>
        <v>5.5792491739999992</v>
      </c>
      <c r="AI11" s="309">
        <f t="shared" si="5"/>
        <v>-9.2491739999989164E-3</v>
      </c>
      <c r="AJ11" s="309">
        <f t="shared" si="8"/>
        <v>-0.22449540337204105</v>
      </c>
      <c r="AP11"/>
    </row>
    <row r="12" spans="1:42">
      <c r="A12" s="307">
        <v>38168</v>
      </c>
      <c r="B12" s="315">
        <v>5.54</v>
      </c>
      <c r="C12" s="306">
        <v>4.32</v>
      </c>
      <c r="D12" s="306">
        <v>40.200000000000003</v>
      </c>
      <c r="E12" s="314">
        <v>-4.8</v>
      </c>
      <c r="F12" s="314">
        <v>1.7142384615384601E-2</v>
      </c>
      <c r="G12" s="314">
        <v>4.57258828716067</v>
      </c>
      <c r="H12" s="306">
        <v>1</v>
      </c>
      <c r="I12" s="314"/>
      <c r="J12" s="309">
        <f t="shared" si="0"/>
        <v>5.889684535999999</v>
      </c>
      <c r="K12" s="309">
        <f t="shared" si="1"/>
        <v>-0.34968453599999894</v>
      </c>
      <c r="L12" s="309">
        <f t="shared" si="6"/>
        <v>-8.1703910232557242E-2</v>
      </c>
      <c r="N12" s="315">
        <v>5.54</v>
      </c>
      <c r="O12" s="306">
        <v>4.32</v>
      </c>
      <c r="P12" s="306">
        <v>40.200000000000003</v>
      </c>
      <c r="Q12" s="314">
        <v>-4.8</v>
      </c>
      <c r="R12" s="314">
        <v>1.7142384615384601E-2</v>
      </c>
      <c r="S12" s="314">
        <v>4.57258828716067</v>
      </c>
      <c r="T12" s="306">
        <v>1</v>
      </c>
      <c r="U12" s="314"/>
      <c r="V12" s="309">
        <f t="shared" si="2"/>
        <v>5.889684535999999</v>
      </c>
      <c r="W12" s="309">
        <f t="shared" si="3"/>
        <v>-0.34968453599999894</v>
      </c>
      <c r="X12" s="309">
        <f t="shared" si="7"/>
        <v>-8.1703910232557242E-2</v>
      </c>
      <c r="Z12" s="315">
        <v>5.54</v>
      </c>
      <c r="AA12" s="306">
        <v>4.32</v>
      </c>
      <c r="AB12" s="306">
        <v>40.200000000000003</v>
      </c>
      <c r="AC12" s="314">
        <v>-4.8</v>
      </c>
      <c r="AD12" s="314">
        <v>1.7142384615384601E-2</v>
      </c>
      <c r="AE12" s="314">
        <v>4.57258828716067</v>
      </c>
      <c r="AF12" s="306">
        <v>1</v>
      </c>
      <c r="AG12" s="314"/>
      <c r="AH12" s="309">
        <f t="shared" si="4"/>
        <v>5.889684535999999</v>
      </c>
      <c r="AI12" s="309">
        <f t="shared" si="5"/>
        <v>-0.34968453599999894</v>
      </c>
      <c r="AJ12" s="309">
        <f t="shared" si="8"/>
        <v>-8.1703910232557242E-2</v>
      </c>
      <c r="AP12"/>
    </row>
    <row r="13" spans="1:42">
      <c r="A13" s="307">
        <v>38260</v>
      </c>
      <c r="B13" s="315">
        <v>5.68</v>
      </c>
      <c r="C13" s="306">
        <v>4.4800000000000004</v>
      </c>
      <c r="D13" s="306">
        <v>41</v>
      </c>
      <c r="E13" s="314">
        <v>-4.9000000000000004</v>
      </c>
      <c r="F13" s="314">
        <v>1.3644230769230801E-2</v>
      </c>
      <c r="G13" s="314">
        <v>4.1395348837209403</v>
      </c>
      <c r="H13" s="306">
        <v>1</v>
      </c>
      <c r="I13" s="314"/>
      <c r="J13" s="309">
        <f t="shared" si="0"/>
        <v>6.0614287740000012</v>
      </c>
      <c r="K13" s="309">
        <f t="shared" si="1"/>
        <v>-0.38142877400000152</v>
      </c>
      <c r="L13" s="309">
        <f t="shared" si="6"/>
        <v>-0.11476955595109065</v>
      </c>
      <c r="N13" s="315">
        <v>5.68</v>
      </c>
      <c r="O13" s="306">
        <v>4.4800000000000004</v>
      </c>
      <c r="P13" s="306">
        <v>41</v>
      </c>
      <c r="Q13" s="314">
        <v>-4.9000000000000004</v>
      </c>
      <c r="R13" s="314">
        <v>1.3644230769230801E-2</v>
      </c>
      <c r="S13" s="314">
        <v>4.1395348837209403</v>
      </c>
      <c r="T13" s="306">
        <v>1</v>
      </c>
      <c r="U13" s="314"/>
      <c r="V13" s="309">
        <f t="shared" si="2"/>
        <v>6.0614287740000012</v>
      </c>
      <c r="W13" s="309">
        <f t="shared" si="3"/>
        <v>-0.38142877400000152</v>
      </c>
      <c r="X13" s="309">
        <f t="shared" si="7"/>
        <v>-0.11476955595109065</v>
      </c>
      <c r="Z13" s="315">
        <v>5.68</v>
      </c>
      <c r="AA13" s="306">
        <v>4.4800000000000004</v>
      </c>
      <c r="AB13" s="306">
        <v>41</v>
      </c>
      <c r="AC13" s="314">
        <v>-4.9000000000000004</v>
      </c>
      <c r="AD13" s="314">
        <v>1.3644230769230801E-2</v>
      </c>
      <c r="AE13" s="314">
        <v>4.1395348837209403</v>
      </c>
      <c r="AF13" s="306">
        <v>1</v>
      </c>
      <c r="AG13" s="314"/>
      <c r="AH13" s="309">
        <f t="shared" si="4"/>
        <v>6.0614287740000012</v>
      </c>
      <c r="AI13" s="309">
        <f t="shared" si="5"/>
        <v>-0.38142877400000152</v>
      </c>
      <c r="AJ13" s="309">
        <f t="shared" si="8"/>
        <v>-0.11476955595109065</v>
      </c>
      <c r="AP13"/>
    </row>
    <row r="14" spans="1:42">
      <c r="A14" s="307">
        <v>38352</v>
      </c>
      <c r="B14" s="315">
        <v>5.27</v>
      </c>
      <c r="C14" s="306">
        <v>4.08</v>
      </c>
      <c r="D14" s="306">
        <v>40.299999999999997</v>
      </c>
      <c r="E14" s="314">
        <v>-5.05</v>
      </c>
      <c r="F14" s="314">
        <v>1.1427E-2</v>
      </c>
      <c r="G14" s="314">
        <v>4.1600537929466199</v>
      </c>
      <c r="H14" s="306">
        <v>1</v>
      </c>
      <c r="I14" s="314"/>
      <c r="J14" s="309">
        <f t="shared" si="0"/>
        <v>5.7340739289999991</v>
      </c>
      <c r="K14" s="309">
        <f t="shared" si="1"/>
        <v>-0.46407392899999955</v>
      </c>
      <c r="L14" s="309">
        <f t="shared" si="6"/>
        <v>-0.37423374170520851</v>
      </c>
      <c r="N14" s="315">
        <v>5.27</v>
      </c>
      <c r="O14" s="306">
        <v>4.08</v>
      </c>
      <c r="P14" s="306">
        <v>40.299999999999997</v>
      </c>
      <c r="Q14" s="314">
        <v>-5.05</v>
      </c>
      <c r="R14" s="314">
        <v>1.1427E-2</v>
      </c>
      <c r="S14" s="314">
        <v>4.1600537929466199</v>
      </c>
      <c r="T14" s="306">
        <v>1</v>
      </c>
      <c r="U14" s="314"/>
      <c r="V14" s="309">
        <f t="shared" si="2"/>
        <v>5.7340739289999991</v>
      </c>
      <c r="W14" s="309">
        <f t="shared" si="3"/>
        <v>-0.46407392899999955</v>
      </c>
      <c r="X14" s="309">
        <f t="shared" si="7"/>
        <v>-0.37423374170520851</v>
      </c>
      <c r="Z14" s="315">
        <v>5.27</v>
      </c>
      <c r="AA14" s="306">
        <v>4.08</v>
      </c>
      <c r="AB14" s="306">
        <v>40.299999999999997</v>
      </c>
      <c r="AC14" s="314">
        <v>-5.05</v>
      </c>
      <c r="AD14" s="314">
        <v>1.1427E-2</v>
      </c>
      <c r="AE14" s="314">
        <v>4.1600537929466199</v>
      </c>
      <c r="AF14" s="306">
        <v>1</v>
      </c>
      <c r="AG14" s="314"/>
      <c r="AH14" s="309">
        <f t="shared" si="4"/>
        <v>5.7340739289999991</v>
      </c>
      <c r="AI14" s="309">
        <f t="shared" si="5"/>
        <v>-0.46407392899999955</v>
      </c>
      <c r="AJ14" s="309">
        <f t="shared" si="8"/>
        <v>-0.37423374170520851</v>
      </c>
      <c r="AP14"/>
    </row>
    <row r="15" spans="1:42">
      <c r="A15" s="307">
        <v>38442</v>
      </c>
      <c r="B15" s="315">
        <v>4.75</v>
      </c>
      <c r="C15" s="306">
        <v>4.21</v>
      </c>
      <c r="D15" s="306">
        <v>42.1</v>
      </c>
      <c r="E15" s="314">
        <v>-5.375</v>
      </c>
      <c r="F15" s="314">
        <v>9.7549999999999998E-3</v>
      </c>
      <c r="G15" s="314">
        <v>3.3241660860743498</v>
      </c>
      <c r="H15" s="306">
        <v>1</v>
      </c>
      <c r="I15" s="314"/>
      <c r="J15" s="309">
        <f t="shared" si="0"/>
        <v>5.9289974404999981</v>
      </c>
      <c r="K15" s="309">
        <f t="shared" si="1"/>
        <v>-1.1789974404999981</v>
      </c>
      <c r="L15" s="309">
        <f t="shared" si="6"/>
        <v>-0.12061677351863256</v>
      </c>
      <c r="N15" s="315">
        <v>4.75</v>
      </c>
      <c r="O15" s="306">
        <v>4.21</v>
      </c>
      <c r="P15" s="306">
        <v>42.1</v>
      </c>
      <c r="Q15" s="314">
        <v>-5.375</v>
      </c>
      <c r="R15" s="314">
        <v>9.7549999999999998E-3</v>
      </c>
      <c r="S15" s="314">
        <v>3.3241660860743498</v>
      </c>
      <c r="T15" s="306">
        <v>1</v>
      </c>
      <c r="U15" s="314"/>
      <c r="V15" s="309">
        <f t="shared" si="2"/>
        <v>5.9289974404999981</v>
      </c>
      <c r="W15" s="309">
        <f t="shared" si="3"/>
        <v>-1.1789974404999981</v>
      </c>
      <c r="X15" s="309">
        <f t="shared" si="7"/>
        <v>-0.12061677351863256</v>
      </c>
      <c r="Z15" s="315">
        <v>4.75</v>
      </c>
      <c r="AA15" s="306">
        <v>4.21</v>
      </c>
      <c r="AB15" s="306">
        <v>42.1</v>
      </c>
      <c r="AC15" s="314">
        <v>-5.375</v>
      </c>
      <c r="AD15" s="314">
        <v>9.7549999999999998E-3</v>
      </c>
      <c r="AE15" s="314">
        <v>3.3241660860743498</v>
      </c>
      <c r="AF15" s="306">
        <v>1</v>
      </c>
      <c r="AG15" s="314"/>
      <c r="AH15" s="309">
        <f t="shared" si="4"/>
        <v>5.9289974404999981</v>
      </c>
      <c r="AI15" s="309">
        <f t="shared" si="5"/>
        <v>-1.1789974404999981</v>
      </c>
      <c r="AJ15" s="309">
        <f t="shared" si="8"/>
        <v>-0.12061677351863256</v>
      </c>
      <c r="AP15"/>
    </row>
    <row r="16" spans="1:42">
      <c r="A16" s="307">
        <v>38533</v>
      </c>
      <c r="B16" s="315">
        <v>4.37</v>
      </c>
      <c r="C16" s="306">
        <v>4.34</v>
      </c>
      <c r="D16" s="306">
        <v>42</v>
      </c>
      <c r="E16" s="314">
        <v>-4.55</v>
      </c>
      <c r="F16" s="314">
        <v>1.46297692307692E-2</v>
      </c>
      <c r="G16" s="314">
        <v>3.7179720152644</v>
      </c>
      <c r="H16" s="306">
        <v>1</v>
      </c>
      <c r="I16" s="314"/>
      <c r="J16" s="309">
        <f t="shared" si="0"/>
        <v>5.7958446370000001</v>
      </c>
      <c r="K16" s="309">
        <f t="shared" si="1"/>
        <v>-1.425844637</v>
      </c>
      <c r="L16" s="309">
        <f t="shared" si="6"/>
        <v>-9.3113799081711357E-2</v>
      </c>
      <c r="N16" s="315">
        <v>4.37</v>
      </c>
      <c r="O16" s="306">
        <v>4.34</v>
      </c>
      <c r="P16" s="306">
        <v>42</v>
      </c>
      <c r="Q16" s="314">
        <v>-4.55</v>
      </c>
      <c r="R16" s="314">
        <v>1.46297692307692E-2</v>
      </c>
      <c r="S16" s="314">
        <v>3.7179720152644</v>
      </c>
      <c r="T16" s="306">
        <v>1</v>
      </c>
      <c r="U16" s="314"/>
      <c r="V16" s="309">
        <f t="shared" si="2"/>
        <v>5.7958446370000001</v>
      </c>
      <c r="W16" s="309">
        <f t="shared" si="3"/>
        <v>-1.425844637</v>
      </c>
      <c r="X16" s="309">
        <f t="shared" si="7"/>
        <v>-9.3113799081711357E-2</v>
      </c>
      <c r="Z16" s="315">
        <v>4.37</v>
      </c>
      <c r="AA16" s="306">
        <v>4.34</v>
      </c>
      <c r="AB16" s="306">
        <v>42</v>
      </c>
      <c r="AC16" s="314">
        <v>-4.55</v>
      </c>
      <c r="AD16" s="314">
        <v>1.46297692307692E-2</v>
      </c>
      <c r="AE16" s="314">
        <v>3.7179720152644</v>
      </c>
      <c r="AF16" s="306">
        <v>1</v>
      </c>
      <c r="AG16" s="314"/>
      <c r="AH16" s="309">
        <f t="shared" si="4"/>
        <v>5.7958446370000001</v>
      </c>
      <c r="AI16" s="309">
        <f t="shared" si="5"/>
        <v>-1.425844637</v>
      </c>
      <c r="AJ16" s="309">
        <f t="shared" si="8"/>
        <v>-9.3113799081711357E-2</v>
      </c>
      <c r="AP16"/>
    </row>
    <row r="17" spans="1:42">
      <c r="A17" s="307">
        <v>38625</v>
      </c>
      <c r="B17" s="315">
        <v>4.28</v>
      </c>
      <c r="C17" s="306">
        <v>4.16</v>
      </c>
      <c r="D17" s="306">
        <v>41.7</v>
      </c>
      <c r="E17" s="314">
        <v>-3.8</v>
      </c>
      <c r="F17" s="314">
        <v>1.1696285714285701E-2</v>
      </c>
      <c r="G17" s="314">
        <v>4.2607346789801603</v>
      </c>
      <c r="H17" s="306">
        <v>1</v>
      </c>
      <c r="I17" s="314"/>
      <c r="J17" s="309">
        <f t="shared" si="0"/>
        <v>5.3894444379999999</v>
      </c>
      <c r="K17" s="309">
        <f t="shared" si="1"/>
        <v>-1.1094444379999997</v>
      </c>
      <c r="L17" s="309">
        <f t="shared" si="6"/>
        <v>-0.20037748011362294</v>
      </c>
      <c r="N17" s="315">
        <v>4.28</v>
      </c>
      <c r="O17" s="306">
        <v>4.16</v>
      </c>
      <c r="P17" s="306">
        <v>41.7</v>
      </c>
      <c r="Q17" s="314">
        <v>-3.8</v>
      </c>
      <c r="R17" s="314">
        <v>1.1696285714285701E-2</v>
      </c>
      <c r="S17" s="314">
        <v>4.2607346789801603</v>
      </c>
      <c r="T17" s="306">
        <v>1</v>
      </c>
      <c r="U17" s="314"/>
      <c r="V17" s="309">
        <f t="shared" si="2"/>
        <v>5.3894444379999999</v>
      </c>
      <c r="W17" s="309">
        <f t="shared" si="3"/>
        <v>-1.1094444379999997</v>
      </c>
      <c r="X17" s="309">
        <f t="shared" si="7"/>
        <v>-0.20037748011362294</v>
      </c>
      <c r="Z17" s="315">
        <v>4.28</v>
      </c>
      <c r="AA17" s="306">
        <v>4.16</v>
      </c>
      <c r="AB17" s="306">
        <v>41.7</v>
      </c>
      <c r="AC17" s="314">
        <v>-3.8</v>
      </c>
      <c r="AD17" s="314">
        <v>1.1696285714285701E-2</v>
      </c>
      <c r="AE17" s="314">
        <v>4.2607346789801603</v>
      </c>
      <c r="AF17" s="306">
        <v>1</v>
      </c>
      <c r="AG17" s="314"/>
      <c r="AH17" s="309">
        <f t="shared" si="4"/>
        <v>5.3894444379999999</v>
      </c>
      <c r="AI17" s="309">
        <f t="shared" si="5"/>
        <v>-1.1094444379999997</v>
      </c>
      <c r="AJ17" s="309">
        <f t="shared" si="8"/>
        <v>-0.20037748011362294</v>
      </c>
      <c r="AP17"/>
    </row>
    <row r="18" spans="1:42">
      <c r="A18" s="307">
        <v>38717</v>
      </c>
      <c r="B18" s="315">
        <v>3.97</v>
      </c>
      <c r="C18" s="306">
        <v>4.45</v>
      </c>
      <c r="D18" s="306">
        <v>41.3</v>
      </c>
      <c r="E18" s="314">
        <v>-3.9</v>
      </c>
      <c r="F18" s="314">
        <v>1.6896230769230799E-2</v>
      </c>
      <c r="G18" s="314">
        <v>4.3140726535688501</v>
      </c>
      <c r="H18" s="306">
        <v>1</v>
      </c>
      <c r="I18" s="314"/>
      <c r="J18" s="309">
        <f t="shared" si="0"/>
        <v>5.7100551100000008</v>
      </c>
      <c r="K18" s="309">
        <f t="shared" si="1"/>
        <v>-1.7400551100000006</v>
      </c>
      <c r="L18" s="309">
        <f t="shared" si="6"/>
        <v>2.6683143296791945E-2</v>
      </c>
      <c r="N18" s="315">
        <v>3.97</v>
      </c>
      <c r="O18" s="306">
        <v>4.45</v>
      </c>
      <c r="P18" s="306">
        <v>41.3</v>
      </c>
      <c r="Q18" s="314">
        <v>-3.9</v>
      </c>
      <c r="R18" s="314">
        <v>1.6896230769230799E-2</v>
      </c>
      <c r="S18" s="314">
        <v>4.3140726535688501</v>
      </c>
      <c r="T18" s="306">
        <v>1</v>
      </c>
      <c r="U18" s="314"/>
      <c r="V18" s="309">
        <f t="shared" si="2"/>
        <v>5.7100551100000008</v>
      </c>
      <c r="W18" s="309">
        <f t="shared" si="3"/>
        <v>-1.7400551100000006</v>
      </c>
      <c r="X18" s="309">
        <f t="shared" si="7"/>
        <v>2.6683143296791945E-2</v>
      </c>
      <c r="Z18" s="315">
        <v>3.97</v>
      </c>
      <c r="AA18" s="306">
        <v>4.45</v>
      </c>
      <c r="AB18" s="306">
        <v>41.3</v>
      </c>
      <c r="AC18" s="314">
        <v>-3.9</v>
      </c>
      <c r="AD18" s="314">
        <v>1.6896230769230799E-2</v>
      </c>
      <c r="AE18" s="314">
        <v>4.3140726535688501</v>
      </c>
      <c r="AF18" s="306">
        <v>1</v>
      </c>
      <c r="AG18" s="314"/>
      <c r="AH18" s="309">
        <f t="shared" si="4"/>
        <v>5.7100551100000008</v>
      </c>
      <c r="AI18" s="309">
        <f t="shared" si="5"/>
        <v>-1.7400551100000006</v>
      </c>
      <c r="AJ18" s="309">
        <f t="shared" si="8"/>
        <v>2.6683143296791945E-2</v>
      </c>
      <c r="AP18"/>
    </row>
    <row r="19" spans="1:42">
      <c r="A19" s="307">
        <v>38807</v>
      </c>
      <c r="B19" s="315">
        <v>4.04</v>
      </c>
      <c r="C19" s="306">
        <v>4.41</v>
      </c>
      <c r="D19" s="306">
        <v>40.6</v>
      </c>
      <c r="E19" s="314">
        <v>-3.1749999999999998</v>
      </c>
      <c r="F19" s="314">
        <v>2.16451538461538E-2</v>
      </c>
      <c r="G19" s="314">
        <v>5.5517043128923103</v>
      </c>
      <c r="H19" s="306">
        <v>1</v>
      </c>
      <c r="I19" s="314"/>
      <c r="J19" s="309">
        <f t="shared" si="0"/>
        <v>5.4549832105</v>
      </c>
      <c r="K19" s="309">
        <f t="shared" si="1"/>
        <v>-1.4149832105</v>
      </c>
      <c r="L19" s="309">
        <f t="shared" si="6"/>
        <v>-3.8516335380638311E-2</v>
      </c>
      <c r="N19" s="315">
        <v>4.04</v>
      </c>
      <c r="O19" s="306">
        <v>4.41</v>
      </c>
      <c r="P19" s="306">
        <v>40.6</v>
      </c>
      <c r="Q19" s="314">
        <v>-3.1749999999999998</v>
      </c>
      <c r="R19" s="314">
        <v>2.16451538461538E-2</v>
      </c>
      <c r="S19" s="314">
        <v>5.5517043128923103</v>
      </c>
      <c r="T19" s="306">
        <v>1</v>
      </c>
      <c r="U19" s="314"/>
      <c r="V19" s="309">
        <f t="shared" si="2"/>
        <v>5.4549832105</v>
      </c>
      <c r="W19" s="309">
        <f t="shared" si="3"/>
        <v>-1.4149832105</v>
      </c>
      <c r="X19" s="309">
        <f t="shared" si="7"/>
        <v>-3.8516335380638311E-2</v>
      </c>
      <c r="Z19" s="315">
        <v>4.04</v>
      </c>
      <c r="AA19" s="306">
        <v>4.41</v>
      </c>
      <c r="AB19" s="306">
        <v>40.6</v>
      </c>
      <c r="AC19" s="314">
        <v>-3.1749999999999998</v>
      </c>
      <c r="AD19" s="314">
        <v>2.16451538461538E-2</v>
      </c>
      <c r="AE19" s="314">
        <v>5.5517043128923103</v>
      </c>
      <c r="AF19" s="306">
        <v>1</v>
      </c>
      <c r="AG19" s="314"/>
      <c r="AH19" s="309">
        <f t="shared" si="4"/>
        <v>5.4549832105</v>
      </c>
      <c r="AI19" s="309">
        <f t="shared" si="5"/>
        <v>-1.4149832105</v>
      </c>
      <c r="AJ19" s="309">
        <f t="shared" si="8"/>
        <v>-3.8516335380638311E-2</v>
      </c>
      <c r="AP19"/>
    </row>
    <row r="20" spans="1:42">
      <c r="A20" s="307">
        <v>38898</v>
      </c>
      <c r="B20" s="315">
        <v>4.2</v>
      </c>
      <c r="C20" s="306">
        <v>4.99</v>
      </c>
      <c r="D20" s="306">
        <v>40.200000000000003</v>
      </c>
      <c r="E20" s="314">
        <v>-3.7749999999999999</v>
      </c>
      <c r="F20" s="314">
        <v>2.9307E-2</v>
      </c>
      <c r="G20" s="314">
        <v>5.3147849650758001</v>
      </c>
      <c r="H20" s="306">
        <v>1</v>
      </c>
      <c r="I20" s="314"/>
      <c r="J20" s="309">
        <f t="shared" si="0"/>
        <v>6.2152599944999984</v>
      </c>
      <c r="K20" s="309">
        <f t="shared" si="1"/>
        <v>-2.0152599944999983</v>
      </c>
      <c r="L20" s="309">
        <f t="shared" si="6"/>
        <v>0.28834993886080623</v>
      </c>
      <c r="N20" s="315">
        <v>4.2</v>
      </c>
      <c r="O20" s="306">
        <v>4.99</v>
      </c>
      <c r="P20" s="306">
        <v>40.200000000000003</v>
      </c>
      <c r="Q20" s="314">
        <v>-3.7749999999999999</v>
      </c>
      <c r="R20" s="314">
        <v>2.9307E-2</v>
      </c>
      <c r="S20" s="314">
        <v>5.3147849650758001</v>
      </c>
      <c r="T20" s="306">
        <v>1</v>
      </c>
      <c r="U20" s="314"/>
      <c r="V20" s="309">
        <f t="shared" si="2"/>
        <v>6.2152599944999984</v>
      </c>
      <c r="W20" s="309">
        <f t="shared" si="3"/>
        <v>-2.0152599944999983</v>
      </c>
      <c r="X20" s="309">
        <f t="shared" si="7"/>
        <v>0.28834993886080623</v>
      </c>
      <c r="Z20" s="315">
        <v>4.2</v>
      </c>
      <c r="AA20" s="306">
        <v>4.99</v>
      </c>
      <c r="AB20" s="306">
        <v>40.200000000000003</v>
      </c>
      <c r="AC20" s="314">
        <v>-3.7749999999999999</v>
      </c>
      <c r="AD20" s="314">
        <v>2.9307E-2</v>
      </c>
      <c r="AE20" s="314">
        <v>5.3147849650758001</v>
      </c>
      <c r="AF20" s="306">
        <v>1</v>
      </c>
      <c r="AG20" s="314"/>
      <c r="AH20" s="309">
        <f t="shared" si="4"/>
        <v>6.2152599944999984</v>
      </c>
      <c r="AI20" s="309">
        <f t="shared" si="5"/>
        <v>-2.0152599944999983</v>
      </c>
      <c r="AJ20" s="309">
        <f t="shared" si="8"/>
        <v>0.28834993886080623</v>
      </c>
      <c r="AP20"/>
    </row>
    <row r="21" spans="1:42">
      <c r="A21" s="307">
        <v>38990</v>
      </c>
      <c r="B21" s="315">
        <v>4.6399999999999997</v>
      </c>
      <c r="C21" s="306">
        <v>5.0999999999999996</v>
      </c>
      <c r="D21" s="306">
        <v>39.9</v>
      </c>
      <c r="E21" s="314">
        <v>-4.5</v>
      </c>
      <c r="F21" s="314">
        <v>3.1452615384615398E-2</v>
      </c>
      <c r="G21" s="314">
        <v>4.9716949410176801</v>
      </c>
      <c r="H21" s="306">
        <v>1</v>
      </c>
      <c r="I21" s="314"/>
      <c r="J21" s="309">
        <f t="shared" si="0"/>
        <v>6.5571940399999988</v>
      </c>
      <c r="K21" s="309">
        <f t="shared" si="1"/>
        <v>-1.9171940399999992</v>
      </c>
      <c r="L21" s="309">
        <f t="shared" si="6"/>
        <v>0.17819002280841076</v>
      </c>
      <c r="N21" s="315">
        <v>4.6399999999999997</v>
      </c>
      <c r="O21" s="306">
        <v>5.0999999999999996</v>
      </c>
      <c r="P21" s="306">
        <v>39.9</v>
      </c>
      <c r="Q21" s="314">
        <v>-4.5</v>
      </c>
      <c r="R21" s="314">
        <v>3.1452615384615398E-2</v>
      </c>
      <c r="S21" s="314">
        <v>4.9716949410176801</v>
      </c>
      <c r="T21" s="306">
        <v>1</v>
      </c>
      <c r="U21" s="314"/>
      <c r="V21" s="309">
        <f t="shared" si="2"/>
        <v>6.5571940399999988</v>
      </c>
      <c r="W21" s="309">
        <f t="shared" si="3"/>
        <v>-1.9171940399999992</v>
      </c>
      <c r="X21" s="309">
        <f t="shared" si="7"/>
        <v>0.17819002280841076</v>
      </c>
      <c r="Z21" s="315">
        <v>4.6399999999999997</v>
      </c>
      <c r="AA21" s="306">
        <v>5.0999999999999996</v>
      </c>
      <c r="AB21" s="306">
        <v>39.9</v>
      </c>
      <c r="AC21" s="314">
        <v>-4.5</v>
      </c>
      <c r="AD21" s="314">
        <v>3.1452615384615398E-2</v>
      </c>
      <c r="AE21" s="314">
        <v>4.9716949410176801</v>
      </c>
      <c r="AF21" s="306">
        <v>1</v>
      </c>
      <c r="AG21" s="314"/>
      <c r="AH21" s="309">
        <f t="shared" si="4"/>
        <v>6.5571940399999988</v>
      </c>
      <c r="AI21" s="309">
        <f t="shared" si="5"/>
        <v>-1.9171940399999992</v>
      </c>
      <c r="AJ21" s="309">
        <f t="shared" si="8"/>
        <v>0.17819002280841076</v>
      </c>
      <c r="AP21"/>
    </row>
    <row r="22" spans="1:42">
      <c r="A22" s="307">
        <v>39082</v>
      </c>
      <c r="B22" s="315">
        <v>4.75</v>
      </c>
      <c r="C22" s="306">
        <v>4.7300000000000004</v>
      </c>
      <c r="D22" s="306">
        <v>38.700000000000003</v>
      </c>
      <c r="E22" s="314">
        <v>-3.2</v>
      </c>
      <c r="F22" s="314">
        <v>2.3993076923076902E-2</v>
      </c>
      <c r="G22" s="314">
        <v>5.00092146187081</v>
      </c>
      <c r="H22" s="306">
        <v>1</v>
      </c>
      <c r="I22" s="314"/>
      <c r="J22" s="309">
        <f t="shared" si="0"/>
        <v>5.809374064</v>
      </c>
      <c r="K22" s="309">
        <f t="shared" si="1"/>
        <v>-1.059374064</v>
      </c>
      <c r="L22" s="309">
        <f t="shared" si="6"/>
        <v>-0.18494520733344005</v>
      </c>
      <c r="N22" s="315">
        <v>4.75</v>
      </c>
      <c r="O22" s="306">
        <v>4.7300000000000004</v>
      </c>
      <c r="P22" s="306">
        <v>38.700000000000003</v>
      </c>
      <c r="Q22" s="314">
        <v>-3.2</v>
      </c>
      <c r="R22" s="314">
        <v>2.3993076923076902E-2</v>
      </c>
      <c r="S22" s="314">
        <v>5.00092146187081</v>
      </c>
      <c r="T22" s="306">
        <v>1</v>
      </c>
      <c r="U22" s="314"/>
      <c r="V22" s="309">
        <f t="shared" si="2"/>
        <v>5.809374064</v>
      </c>
      <c r="W22" s="309">
        <f t="shared" si="3"/>
        <v>-1.059374064</v>
      </c>
      <c r="X22" s="309">
        <f t="shared" si="7"/>
        <v>-0.18494520733344005</v>
      </c>
      <c r="Z22" s="315">
        <v>4.75</v>
      </c>
      <c r="AA22" s="306">
        <v>4.7300000000000004</v>
      </c>
      <c r="AB22" s="306">
        <v>38.700000000000003</v>
      </c>
      <c r="AC22" s="314">
        <v>-3.2</v>
      </c>
      <c r="AD22" s="314">
        <v>2.3993076923076902E-2</v>
      </c>
      <c r="AE22" s="314">
        <v>5.00092146187081</v>
      </c>
      <c r="AF22" s="306">
        <v>1</v>
      </c>
      <c r="AG22" s="314"/>
      <c r="AH22" s="309">
        <f t="shared" si="4"/>
        <v>5.809374064</v>
      </c>
      <c r="AI22" s="309">
        <f t="shared" si="5"/>
        <v>-1.059374064</v>
      </c>
      <c r="AJ22" s="309">
        <f t="shared" si="8"/>
        <v>-0.18494520733344005</v>
      </c>
      <c r="AP22"/>
    </row>
    <row r="23" spans="1:42">
      <c r="A23" s="307">
        <v>39172</v>
      </c>
      <c r="B23" s="315">
        <v>4.75</v>
      </c>
      <c r="C23" s="306">
        <v>4.76</v>
      </c>
      <c r="D23" s="306">
        <v>38.9</v>
      </c>
      <c r="E23" s="314">
        <v>-3.2</v>
      </c>
      <c r="F23" s="314">
        <v>2.3561153846153801E-2</v>
      </c>
      <c r="G23" s="314">
        <v>4.9792884553311998</v>
      </c>
      <c r="H23" s="306">
        <v>1</v>
      </c>
      <c r="I23" s="314"/>
      <c r="J23" s="309">
        <f t="shared" si="0"/>
        <v>5.8346929779999996</v>
      </c>
      <c r="K23" s="309">
        <f t="shared" si="1"/>
        <v>-1.0846929779999996</v>
      </c>
      <c r="L23" s="309">
        <f t="shared" si="6"/>
        <v>-3.481988098173934E-2</v>
      </c>
      <c r="N23" s="315">
        <v>4.75</v>
      </c>
      <c r="O23" s="306">
        <v>4.76</v>
      </c>
      <c r="P23" s="306">
        <v>38.9</v>
      </c>
      <c r="Q23" s="314">
        <v>-3.2</v>
      </c>
      <c r="R23" s="314">
        <v>2.3561153846153801E-2</v>
      </c>
      <c r="S23" s="314">
        <v>4.9792884553311998</v>
      </c>
      <c r="T23" s="306">
        <v>1</v>
      </c>
      <c r="U23" s="314"/>
      <c r="V23" s="309">
        <f t="shared" si="2"/>
        <v>5.8346929779999996</v>
      </c>
      <c r="W23" s="309">
        <f t="shared" si="3"/>
        <v>-1.0846929779999996</v>
      </c>
      <c r="X23" s="309">
        <f t="shared" si="7"/>
        <v>-3.481988098173934E-2</v>
      </c>
      <c r="Z23" s="315">
        <v>4.75</v>
      </c>
      <c r="AA23" s="306">
        <v>4.76</v>
      </c>
      <c r="AB23" s="306">
        <v>38.9</v>
      </c>
      <c r="AC23" s="314">
        <v>-3.2</v>
      </c>
      <c r="AD23" s="314">
        <v>2.3561153846153801E-2</v>
      </c>
      <c r="AE23" s="314">
        <v>4.9792884553311998</v>
      </c>
      <c r="AF23" s="306">
        <v>1</v>
      </c>
      <c r="AG23" s="314"/>
      <c r="AH23" s="309">
        <f t="shared" si="4"/>
        <v>5.8346929779999996</v>
      </c>
      <c r="AI23" s="309">
        <f t="shared" si="5"/>
        <v>-1.0846929779999996</v>
      </c>
      <c r="AJ23" s="309">
        <f t="shared" si="8"/>
        <v>-3.481988098173934E-2</v>
      </c>
      <c r="AP23"/>
    </row>
    <row r="24" spans="1:42">
      <c r="A24" s="307">
        <v>39263</v>
      </c>
      <c r="B24" s="315">
        <v>4.47</v>
      </c>
      <c r="C24" s="306">
        <v>4.6900000000000004</v>
      </c>
      <c r="D24" s="306">
        <v>38.6</v>
      </c>
      <c r="E24" s="314">
        <v>-2.8250000000000002</v>
      </c>
      <c r="F24" s="314">
        <v>2.80880769230769E-2</v>
      </c>
      <c r="G24" s="314">
        <v>5.4152313224095696</v>
      </c>
      <c r="H24" s="306">
        <v>1</v>
      </c>
      <c r="I24" s="314"/>
      <c r="J24" s="309">
        <f t="shared" si="0"/>
        <v>5.6537396495000003</v>
      </c>
      <c r="K24" s="309">
        <f t="shared" si="1"/>
        <v>-1.1837396495000005</v>
      </c>
      <c r="L24" s="309">
        <f t="shared" si="6"/>
        <v>-6.795268975374226E-2</v>
      </c>
      <c r="N24" s="315">
        <v>4.47</v>
      </c>
      <c r="O24" s="306">
        <v>4.6900000000000004</v>
      </c>
      <c r="P24" s="306">
        <v>38.6</v>
      </c>
      <c r="Q24" s="314">
        <v>-2.8250000000000002</v>
      </c>
      <c r="R24" s="314">
        <v>2.80880769230769E-2</v>
      </c>
      <c r="S24" s="314">
        <v>5.4152313224095696</v>
      </c>
      <c r="T24" s="306">
        <v>1</v>
      </c>
      <c r="U24" s="314"/>
      <c r="V24" s="309">
        <f t="shared" si="2"/>
        <v>5.6537396495000003</v>
      </c>
      <c r="W24" s="309">
        <f t="shared" si="3"/>
        <v>-1.1837396495000005</v>
      </c>
      <c r="X24" s="309">
        <f t="shared" si="7"/>
        <v>-6.795268975374226E-2</v>
      </c>
      <c r="Z24" s="315">
        <v>4.47</v>
      </c>
      <c r="AA24" s="306">
        <v>4.6900000000000004</v>
      </c>
      <c r="AB24" s="306">
        <v>38.6</v>
      </c>
      <c r="AC24" s="314">
        <v>-2.8250000000000002</v>
      </c>
      <c r="AD24" s="314">
        <v>2.80880769230769E-2</v>
      </c>
      <c r="AE24" s="314">
        <v>5.4152313224095696</v>
      </c>
      <c r="AF24" s="306">
        <v>1</v>
      </c>
      <c r="AG24" s="314"/>
      <c r="AH24" s="309">
        <f t="shared" si="4"/>
        <v>5.6537396495000003</v>
      </c>
      <c r="AI24" s="309">
        <f t="shared" si="5"/>
        <v>-1.1837396495000005</v>
      </c>
      <c r="AJ24" s="309">
        <f t="shared" si="8"/>
        <v>-6.795268975374226E-2</v>
      </c>
      <c r="AP24"/>
    </row>
    <row r="25" spans="1:42">
      <c r="A25" s="307">
        <v>39355</v>
      </c>
      <c r="B25" s="315">
        <v>5.04</v>
      </c>
      <c r="C25" s="306">
        <v>5.01</v>
      </c>
      <c r="D25" s="306">
        <v>37.700000000000003</v>
      </c>
      <c r="E25" s="314">
        <v>-2.0249999999999999</v>
      </c>
      <c r="F25" s="314">
        <v>6.5119769230769203E-2</v>
      </c>
      <c r="G25" s="314">
        <v>5.5491075836194597</v>
      </c>
      <c r="H25" s="306">
        <v>1</v>
      </c>
      <c r="I25" s="314"/>
      <c r="J25" s="309">
        <f t="shared" si="0"/>
        <v>5.7280056754999986</v>
      </c>
      <c r="K25" s="309">
        <f t="shared" si="1"/>
        <v>-0.68800567549999858</v>
      </c>
      <c r="L25" s="309">
        <f t="shared" si="6"/>
        <v>0.28067451651743719</v>
      </c>
      <c r="N25" s="315">
        <v>5.04</v>
      </c>
      <c r="O25" s="306">
        <v>5.01</v>
      </c>
      <c r="P25" s="306">
        <v>37.700000000000003</v>
      </c>
      <c r="Q25" s="314">
        <v>-2.0249999999999999</v>
      </c>
      <c r="R25" s="314">
        <v>6.5119769230769203E-2</v>
      </c>
      <c r="S25" s="314">
        <v>5.5491075836194597</v>
      </c>
      <c r="T25" s="306">
        <v>1</v>
      </c>
      <c r="U25" s="314"/>
      <c r="V25" s="309">
        <f t="shared" si="2"/>
        <v>5.7280056754999986</v>
      </c>
      <c r="W25" s="309">
        <f t="shared" si="3"/>
        <v>-0.68800567549999858</v>
      </c>
      <c r="X25" s="309">
        <f t="shared" si="7"/>
        <v>0.28067451651743719</v>
      </c>
      <c r="Z25" s="315">
        <v>5.04</v>
      </c>
      <c r="AA25" s="306">
        <v>5.01</v>
      </c>
      <c r="AB25" s="306">
        <v>37.700000000000003</v>
      </c>
      <c r="AC25" s="314">
        <v>-2.0249999999999999</v>
      </c>
      <c r="AD25" s="314">
        <v>6.5119769230769203E-2</v>
      </c>
      <c r="AE25" s="314">
        <v>5.5491075836194597</v>
      </c>
      <c r="AF25" s="306">
        <v>1</v>
      </c>
      <c r="AG25" s="314"/>
      <c r="AH25" s="309">
        <f t="shared" si="4"/>
        <v>5.7280056754999986</v>
      </c>
      <c r="AI25" s="309">
        <f t="shared" si="5"/>
        <v>-0.68800567549999858</v>
      </c>
      <c r="AJ25" s="309">
        <f t="shared" si="8"/>
        <v>0.28067451651743719</v>
      </c>
      <c r="AP25"/>
    </row>
    <row r="26" spans="1:42">
      <c r="A26" s="307">
        <v>39447</v>
      </c>
      <c r="B26" s="315">
        <v>5.22</v>
      </c>
      <c r="C26" s="306">
        <v>4.5199999999999996</v>
      </c>
      <c r="D26" s="306">
        <v>37.4</v>
      </c>
      <c r="E26" s="314">
        <v>-2.35</v>
      </c>
      <c r="F26" s="314">
        <v>7.3685307692307703E-2</v>
      </c>
      <c r="G26" s="314">
        <v>5.2665336219580396</v>
      </c>
      <c r="H26" s="306">
        <v>1</v>
      </c>
      <c r="I26" s="314"/>
      <c r="J26" s="309">
        <f t="shared" si="0"/>
        <v>5.3611519609999991</v>
      </c>
      <c r="K26" s="309">
        <f t="shared" si="1"/>
        <v>-0.14115196099999938</v>
      </c>
      <c r="L26" s="309">
        <f t="shared" si="6"/>
        <v>-3.6105818051287986E-5</v>
      </c>
      <c r="N26" s="315">
        <v>5.22</v>
      </c>
      <c r="O26" s="306">
        <v>4.5199999999999996</v>
      </c>
      <c r="P26" s="306">
        <v>37.4</v>
      </c>
      <c r="Q26" s="314">
        <v>-2.35</v>
      </c>
      <c r="R26" s="314">
        <v>7.3685307692307703E-2</v>
      </c>
      <c r="S26" s="314">
        <v>5.2665336219580396</v>
      </c>
      <c r="T26" s="306">
        <v>1</v>
      </c>
      <c r="U26" s="314"/>
      <c r="V26" s="309">
        <f t="shared" si="2"/>
        <v>5.3611519609999991</v>
      </c>
      <c r="W26" s="309">
        <f t="shared" si="3"/>
        <v>-0.14115196099999938</v>
      </c>
      <c r="X26" s="309">
        <f t="shared" si="7"/>
        <v>-3.6105818051287986E-5</v>
      </c>
      <c r="Z26" s="315">
        <v>5.22</v>
      </c>
      <c r="AA26" s="306">
        <v>4.5199999999999996</v>
      </c>
      <c r="AB26" s="306">
        <v>37.4</v>
      </c>
      <c r="AC26" s="314">
        <v>-2.35</v>
      </c>
      <c r="AD26" s="314">
        <v>7.3685307692307703E-2</v>
      </c>
      <c r="AE26" s="314">
        <v>5.2665336219580396</v>
      </c>
      <c r="AF26" s="306">
        <v>1</v>
      </c>
      <c r="AG26" s="314"/>
      <c r="AH26" s="309">
        <f t="shared" si="4"/>
        <v>5.3611519609999991</v>
      </c>
      <c r="AI26" s="309">
        <f t="shared" si="5"/>
        <v>-0.14115196099999938</v>
      </c>
      <c r="AJ26" s="309">
        <f t="shared" si="8"/>
        <v>-3.6105818051287986E-5</v>
      </c>
      <c r="AP26"/>
    </row>
    <row r="27" spans="1:42">
      <c r="A27" s="307">
        <v>39538</v>
      </c>
      <c r="B27" s="315">
        <v>5.55</v>
      </c>
      <c r="C27" s="306">
        <v>3.73</v>
      </c>
      <c r="D27" s="306">
        <v>36.9</v>
      </c>
      <c r="E27" s="314">
        <v>-1.6</v>
      </c>
      <c r="F27" s="314">
        <v>0.102550153846154</v>
      </c>
      <c r="G27" s="314">
        <v>4.43436633912824</v>
      </c>
      <c r="H27" s="306">
        <v>1</v>
      </c>
      <c r="I27" s="314"/>
      <c r="J27" s="309">
        <f t="shared" si="0"/>
        <v>4.3666833240000003</v>
      </c>
      <c r="K27" s="309">
        <f t="shared" si="1"/>
        <v>1.1833166759999996</v>
      </c>
      <c r="L27" s="309">
        <f t="shared" si="6"/>
        <v>-9.3109685923910848E-2</v>
      </c>
      <c r="N27" s="315">
        <v>5.55</v>
      </c>
      <c r="O27" s="306">
        <v>3.73</v>
      </c>
      <c r="P27" s="306">
        <v>36.9</v>
      </c>
      <c r="Q27" s="314">
        <v>-1.6</v>
      </c>
      <c r="R27" s="314">
        <v>0.102550153846154</v>
      </c>
      <c r="S27" s="314">
        <v>4.43436633912824</v>
      </c>
      <c r="T27" s="306">
        <v>1</v>
      </c>
      <c r="U27" s="314"/>
      <c r="V27" s="309">
        <f t="shared" si="2"/>
        <v>4.3666833240000003</v>
      </c>
      <c r="W27" s="309">
        <f t="shared" si="3"/>
        <v>1.1833166759999996</v>
      </c>
      <c r="X27" s="309">
        <f t="shared" si="7"/>
        <v>-9.3109685923910848E-2</v>
      </c>
      <c r="Z27" s="315">
        <v>5.55</v>
      </c>
      <c r="AA27" s="306">
        <v>3.73</v>
      </c>
      <c r="AB27" s="306">
        <v>36.9</v>
      </c>
      <c r="AC27" s="314">
        <v>-1.6</v>
      </c>
      <c r="AD27" s="314">
        <v>0.102550153846154</v>
      </c>
      <c r="AE27" s="314">
        <v>4.43436633912824</v>
      </c>
      <c r="AF27" s="306">
        <v>1</v>
      </c>
      <c r="AG27" s="314"/>
      <c r="AH27" s="309">
        <f t="shared" si="4"/>
        <v>4.3666833240000003</v>
      </c>
      <c r="AI27" s="309">
        <f t="shared" si="5"/>
        <v>1.1833166759999996</v>
      </c>
      <c r="AJ27" s="309">
        <f t="shared" si="8"/>
        <v>-9.3109685923910848E-2</v>
      </c>
      <c r="AP27"/>
    </row>
    <row r="28" spans="1:42">
      <c r="A28" s="307">
        <v>39629</v>
      </c>
      <c r="B28" s="315">
        <v>5.79</v>
      </c>
      <c r="C28" s="306">
        <v>3.65</v>
      </c>
      <c r="D28" s="306">
        <v>36.6</v>
      </c>
      <c r="E28" s="314">
        <v>-1.125</v>
      </c>
      <c r="F28" s="314">
        <v>9.6031692307692304E-2</v>
      </c>
      <c r="G28" s="314">
        <v>3.72279761128202</v>
      </c>
      <c r="H28" s="306">
        <v>1</v>
      </c>
      <c r="I28" s="314"/>
      <c r="J28" s="309">
        <f t="shared" si="0"/>
        <v>4.1443691474999991</v>
      </c>
      <c r="K28" s="309">
        <f t="shared" si="1"/>
        <v>1.645630852500001</v>
      </c>
      <c r="L28" s="309">
        <f t="shared" si="6"/>
        <v>1.8423395512296582E-2</v>
      </c>
      <c r="N28" s="315">
        <v>5.79</v>
      </c>
      <c r="O28" s="306">
        <v>3.65</v>
      </c>
      <c r="P28" s="306">
        <v>36.6</v>
      </c>
      <c r="Q28" s="314">
        <v>-1.125</v>
      </c>
      <c r="R28" s="314">
        <v>9.6031692307692304E-2</v>
      </c>
      <c r="S28" s="314">
        <v>3.72279761128202</v>
      </c>
      <c r="T28" s="306">
        <v>1</v>
      </c>
      <c r="U28" s="314"/>
      <c r="V28" s="309">
        <f t="shared" si="2"/>
        <v>4.1443691474999991</v>
      </c>
      <c r="W28" s="309">
        <f t="shared" si="3"/>
        <v>1.645630852500001</v>
      </c>
      <c r="X28" s="309">
        <f t="shared" si="7"/>
        <v>1.8423395512296582E-2</v>
      </c>
      <c r="Z28" s="315">
        <v>5.79</v>
      </c>
      <c r="AA28" s="306">
        <v>3.65</v>
      </c>
      <c r="AB28" s="306">
        <v>36.6</v>
      </c>
      <c r="AC28" s="314">
        <v>-1.125</v>
      </c>
      <c r="AD28" s="314">
        <v>9.6031692307692304E-2</v>
      </c>
      <c r="AE28" s="314">
        <v>3.72279761128202</v>
      </c>
      <c r="AF28" s="306">
        <v>1</v>
      </c>
      <c r="AG28" s="314"/>
      <c r="AH28" s="309">
        <f t="shared" si="4"/>
        <v>4.1443691474999991</v>
      </c>
      <c r="AI28" s="309">
        <f t="shared" si="5"/>
        <v>1.645630852500001</v>
      </c>
      <c r="AJ28" s="309">
        <f t="shared" si="8"/>
        <v>1.8423395512296582E-2</v>
      </c>
      <c r="AP28"/>
    </row>
    <row r="29" spans="1:42">
      <c r="A29" s="307">
        <v>39721</v>
      </c>
      <c r="B29" s="315">
        <v>5.81</v>
      </c>
      <c r="C29" s="306">
        <v>3.98</v>
      </c>
      <c r="D29" s="306">
        <v>35.9</v>
      </c>
      <c r="E29" s="314">
        <v>-1.425</v>
      </c>
      <c r="F29" s="314">
        <v>0.103906</v>
      </c>
      <c r="G29" s="314">
        <v>2.91990679246774</v>
      </c>
      <c r="H29" s="306">
        <v>1</v>
      </c>
      <c r="I29" s="314"/>
      <c r="J29" s="309">
        <f t="shared" si="0"/>
        <v>4.5727899015000002</v>
      </c>
      <c r="K29" s="309">
        <f t="shared" si="1"/>
        <v>1.2372100984999994</v>
      </c>
      <c r="L29" s="309">
        <f t="shared" si="6"/>
        <v>0.19847537985883096</v>
      </c>
      <c r="N29" s="315">
        <v>5.81</v>
      </c>
      <c r="O29" s="306">
        <v>3.98</v>
      </c>
      <c r="P29" s="306">
        <v>35.9</v>
      </c>
      <c r="Q29" s="314">
        <v>-1.425</v>
      </c>
      <c r="R29" s="314">
        <v>0.103906</v>
      </c>
      <c r="S29" s="314">
        <v>2.91990679246774</v>
      </c>
      <c r="T29" s="306">
        <v>1</v>
      </c>
      <c r="U29" s="314"/>
      <c r="V29" s="309">
        <f t="shared" si="2"/>
        <v>4.5727899015000002</v>
      </c>
      <c r="W29" s="309">
        <f t="shared" si="3"/>
        <v>1.2372100984999994</v>
      </c>
      <c r="X29" s="309">
        <f t="shared" si="7"/>
        <v>0.19847537985883096</v>
      </c>
      <c r="Z29" s="315">
        <v>5.81</v>
      </c>
      <c r="AA29" s="306">
        <v>3.98</v>
      </c>
      <c r="AB29" s="306">
        <v>35.9</v>
      </c>
      <c r="AC29" s="314">
        <v>-1.425</v>
      </c>
      <c r="AD29" s="314">
        <v>0.103906</v>
      </c>
      <c r="AE29" s="314">
        <v>2.91990679246774</v>
      </c>
      <c r="AF29" s="306">
        <v>1</v>
      </c>
      <c r="AG29" s="314"/>
      <c r="AH29" s="309">
        <f t="shared" si="4"/>
        <v>4.5727899015000002</v>
      </c>
      <c r="AI29" s="309">
        <f t="shared" si="5"/>
        <v>1.2372100984999994</v>
      </c>
      <c r="AJ29" s="309">
        <f t="shared" si="8"/>
        <v>0.19847537985883096</v>
      </c>
      <c r="AP29"/>
    </row>
    <row r="30" spans="1:42">
      <c r="A30" s="307">
        <v>39813</v>
      </c>
      <c r="B30" s="315">
        <v>6.26</v>
      </c>
      <c r="C30" s="306">
        <v>3.79</v>
      </c>
      <c r="D30" s="306">
        <v>39.299999999999997</v>
      </c>
      <c r="E30" s="314">
        <v>-2.875</v>
      </c>
      <c r="F30" s="314">
        <v>0.12999792307692301</v>
      </c>
      <c r="G30" s="314">
        <v>1.75955735234785</v>
      </c>
      <c r="H30" s="306">
        <v>1</v>
      </c>
      <c r="I30" s="314"/>
      <c r="J30" s="309">
        <f t="shared" si="0"/>
        <v>4.7830758944999996</v>
      </c>
      <c r="K30" s="309">
        <f t="shared" si="1"/>
        <v>1.4769241055000002</v>
      </c>
      <c r="L30" s="309">
        <f t="shared" si="6"/>
        <v>0.28035102861313044</v>
      </c>
      <c r="N30" s="315">
        <v>6.26</v>
      </c>
      <c r="O30" s="306">
        <v>3.79</v>
      </c>
      <c r="P30" s="306">
        <v>39.299999999999997</v>
      </c>
      <c r="Q30" s="314">
        <v>-2.875</v>
      </c>
      <c r="R30" s="314">
        <v>0.12999792307692301</v>
      </c>
      <c r="S30" s="314">
        <v>1.75955735234785</v>
      </c>
      <c r="T30" s="306">
        <v>1</v>
      </c>
      <c r="U30" s="314"/>
      <c r="V30" s="309">
        <f t="shared" si="2"/>
        <v>4.7830758944999996</v>
      </c>
      <c r="W30" s="309">
        <f t="shared" si="3"/>
        <v>1.4769241055000002</v>
      </c>
      <c r="X30" s="309">
        <f t="shared" si="7"/>
        <v>0.28035102861313044</v>
      </c>
      <c r="Z30" s="315">
        <v>6.26</v>
      </c>
      <c r="AA30" s="306">
        <v>3.79</v>
      </c>
      <c r="AB30" s="306">
        <v>39.299999999999997</v>
      </c>
      <c r="AC30" s="314">
        <v>-2.875</v>
      </c>
      <c r="AD30" s="314">
        <v>0.12999792307692301</v>
      </c>
      <c r="AE30" s="314">
        <v>1.75955735234785</v>
      </c>
      <c r="AF30" s="306">
        <v>1</v>
      </c>
      <c r="AG30" s="314"/>
      <c r="AH30" s="309">
        <f t="shared" si="4"/>
        <v>4.7830758944999996</v>
      </c>
      <c r="AI30" s="309">
        <f t="shared" si="5"/>
        <v>1.4769241055000002</v>
      </c>
      <c r="AJ30" s="309">
        <f t="shared" si="8"/>
        <v>0.28035102861313044</v>
      </c>
      <c r="AP30"/>
    </row>
    <row r="31" spans="1:42">
      <c r="A31" s="307">
        <v>39903</v>
      </c>
      <c r="B31" s="315">
        <v>6.83</v>
      </c>
      <c r="C31" s="306">
        <v>2.4900000000000002</v>
      </c>
      <c r="D31" s="306">
        <v>41.8</v>
      </c>
      <c r="E31" s="314">
        <v>-3.9</v>
      </c>
      <c r="F31" s="314">
        <v>0.118797384615385</v>
      </c>
      <c r="G31" s="314">
        <v>-1.0416879638527099</v>
      </c>
      <c r="H31" s="306">
        <v>1</v>
      </c>
      <c r="I31" s="314"/>
      <c r="J31" s="309">
        <f t="shared" si="0"/>
        <v>3.7988777720000004</v>
      </c>
      <c r="K31" s="309">
        <f t="shared" si="1"/>
        <v>3.0311222279999996</v>
      </c>
      <c r="L31" s="309">
        <f t="shared" si="6"/>
        <v>-0.34010327575673238</v>
      </c>
      <c r="N31" s="315">
        <v>6.83</v>
      </c>
      <c r="O31" s="306">
        <v>2.4900000000000002</v>
      </c>
      <c r="P31" s="306">
        <v>41.8</v>
      </c>
      <c r="Q31" s="314">
        <v>-3.9</v>
      </c>
      <c r="R31" s="314">
        <v>0.118797384615385</v>
      </c>
      <c r="S31" s="314">
        <v>-1.0416879638527099</v>
      </c>
      <c r="T31" s="306">
        <v>1</v>
      </c>
      <c r="U31" s="314"/>
      <c r="V31" s="309">
        <f t="shared" si="2"/>
        <v>3.7988777720000004</v>
      </c>
      <c r="W31" s="309">
        <f t="shared" si="3"/>
        <v>3.0311222279999996</v>
      </c>
      <c r="X31" s="309">
        <f t="shared" si="7"/>
        <v>-0.34010327575673238</v>
      </c>
      <c r="Z31" s="315">
        <v>6.83</v>
      </c>
      <c r="AA31" s="306">
        <v>2.4900000000000002</v>
      </c>
      <c r="AB31" s="306">
        <v>41.8</v>
      </c>
      <c r="AC31" s="314">
        <v>-3.9</v>
      </c>
      <c r="AD31" s="314">
        <v>0.118797384615385</v>
      </c>
      <c r="AE31" s="314">
        <v>-1.0416879638527099</v>
      </c>
      <c r="AF31" s="306">
        <v>1</v>
      </c>
      <c r="AG31" s="314"/>
      <c r="AH31" s="309">
        <f t="shared" si="4"/>
        <v>3.7988777720000004</v>
      </c>
      <c r="AI31" s="309">
        <f t="shared" si="5"/>
        <v>3.0311222279999996</v>
      </c>
      <c r="AJ31" s="309">
        <f t="shared" si="8"/>
        <v>-0.34010327575673238</v>
      </c>
      <c r="AP31"/>
    </row>
    <row r="32" spans="1:42">
      <c r="A32" s="307">
        <v>39994</v>
      </c>
      <c r="B32" s="315">
        <v>8.4</v>
      </c>
      <c r="C32" s="306">
        <v>2.9</v>
      </c>
      <c r="D32" s="306">
        <v>43.5</v>
      </c>
      <c r="E32" s="314">
        <v>-5.4749999999999996</v>
      </c>
      <c r="F32" s="314">
        <v>8.9392769230769206E-2</v>
      </c>
      <c r="G32" s="314">
        <v>-4.0245391803232202</v>
      </c>
      <c r="H32" s="306">
        <v>1</v>
      </c>
      <c r="I32" s="314"/>
      <c r="J32" s="309">
        <f t="shared" si="0"/>
        <v>4.663096252499999</v>
      </c>
      <c r="K32" s="309">
        <f t="shared" si="1"/>
        <v>3.7369037475000013</v>
      </c>
      <c r="L32" s="309">
        <f t="shared" si="6"/>
        <v>-5.5437627384198607E-3</v>
      </c>
      <c r="N32" s="315">
        <v>8.4</v>
      </c>
      <c r="O32" s="306">
        <v>2.9</v>
      </c>
      <c r="P32" s="306">
        <v>43.5</v>
      </c>
      <c r="Q32" s="314">
        <v>-5.4749999999999996</v>
      </c>
      <c r="R32" s="314">
        <v>8.9392769230769206E-2</v>
      </c>
      <c r="S32" s="314">
        <v>-4.0245391803232202</v>
      </c>
      <c r="T32" s="306">
        <v>1</v>
      </c>
      <c r="U32" s="314"/>
      <c r="V32" s="309">
        <f t="shared" si="2"/>
        <v>4.663096252499999</v>
      </c>
      <c r="W32" s="309">
        <f t="shared" si="3"/>
        <v>3.7369037475000013</v>
      </c>
      <c r="X32" s="309">
        <f t="shared" si="7"/>
        <v>-5.5437627384198607E-3</v>
      </c>
      <c r="Z32" s="315">
        <v>8.4</v>
      </c>
      <c r="AA32" s="306">
        <v>2.9</v>
      </c>
      <c r="AB32" s="306">
        <v>43.5</v>
      </c>
      <c r="AC32" s="314">
        <v>-5.4749999999999996</v>
      </c>
      <c r="AD32" s="314">
        <v>8.9392769230769206E-2</v>
      </c>
      <c r="AE32" s="314">
        <v>-4.0245391803232202</v>
      </c>
      <c r="AF32" s="306">
        <v>1</v>
      </c>
      <c r="AG32" s="314"/>
      <c r="AH32" s="309">
        <f t="shared" si="4"/>
        <v>4.663096252499999</v>
      </c>
      <c r="AI32" s="309">
        <f t="shared" si="5"/>
        <v>3.7369037475000013</v>
      </c>
      <c r="AJ32" s="309">
        <f t="shared" si="8"/>
        <v>-5.5437627384198607E-3</v>
      </c>
      <c r="AP32"/>
    </row>
    <row r="33" spans="1:42">
      <c r="A33" s="307">
        <v>40086</v>
      </c>
      <c r="B33" s="315">
        <v>8.5299999999999994</v>
      </c>
      <c r="C33" s="306">
        <v>3.54</v>
      </c>
      <c r="D33" s="306">
        <v>46</v>
      </c>
      <c r="E33" s="314">
        <v>-6.375</v>
      </c>
      <c r="F33" s="314">
        <v>6.7365230769230802E-2</v>
      </c>
      <c r="G33" s="314">
        <v>-6.4682786534282304</v>
      </c>
      <c r="H33" s="306">
        <v>1</v>
      </c>
      <c r="I33" s="314"/>
      <c r="J33" s="309">
        <f t="shared" si="0"/>
        <v>5.5216254244999998</v>
      </c>
      <c r="K33" s="309">
        <f t="shared" si="1"/>
        <v>3.0083745754999995</v>
      </c>
      <c r="L33" s="309">
        <f t="shared" si="6"/>
        <v>-0.16919022521516419</v>
      </c>
      <c r="N33" s="315">
        <v>8.5299999999999994</v>
      </c>
      <c r="O33" s="306">
        <v>3.54</v>
      </c>
      <c r="P33" s="306">
        <v>46</v>
      </c>
      <c r="Q33" s="314">
        <v>-6.375</v>
      </c>
      <c r="R33" s="314">
        <v>6.7365230769230802E-2</v>
      </c>
      <c r="S33" s="314">
        <v>-6.4682786534282304</v>
      </c>
      <c r="T33" s="306">
        <v>1</v>
      </c>
      <c r="U33" s="314"/>
      <c r="V33" s="309">
        <f t="shared" si="2"/>
        <v>5.5216254244999998</v>
      </c>
      <c r="W33" s="309">
        <f t="shared" si="3"/>
        <v>3.0083745754999995</v>
      </c>
      <c r="X33" s="309">
        <f t="shared" si="7"/>
        <v>-0.16919022521516419</v>
      </c>
      <c r="Z33" s="315">
        <v>8.5299999999999994</v>
      </c>
      <c r="AA33" s="306">
        <v>3.54</v>
      </c>
      <c r="AB33" s="306">
        <v>46</v>
      </c>
      <c r="AC33" s="314">
        <v>-6.375</v>
      </c>
      <c r="AD33" s="314">
        <v>6.7365230769230802E-2</v>
      </c>
      <c r="AE33" s="314">
        <v>-6.4682786534282304</v>
      </c>
      <c r="AF33" s="306">
        <v>1</v>
      </c>
      <c r="AG33" s="314"/>
      <c r="AH33" s="309">
        <f t="shared" si="4"/>
        <v>5.5216254244999998</v>
      </c>
      <c r="AI33" s="309">
        <f t="shared" si="5"/>
        <v>3.0083745754999995</v>
      </c>
      <c r="AJ33" s="309">
        <f t="shared" si="8"/>
        <v>-0.16919022521516419</v>
      </c>
      <c r="AP33"/>
    </row>
    <row r="34" spans="1:42">
      <c r="A34" s="307">
        <v>40178</v>
      </c>
      <c r="B34" s="315">
        <v>8.64</v>
      </c>
      <c r="C34" s="306">
        <v>3.37</v>
      </c>
      <c r="D34" s="306">
        <v>48.7</v>
      </c>
      <c r="E34" s="314">
        <v>-6.05</v>
      </c>
      <c r="F34" s="314">
        <v>5.6991153846153803E-2</v>
      </c>
      <c r="G34" s="314">
        <v>-7.3595332880214803</v>
      </c>
      <c r="H34" s="306">
        <v>1</v>
      </c>
      <c r="I34" s="314"/>
      <c r="J34" s="309">
        <f t="shared" si="0"/>
        <v>5.2026431509999984</v>
      </c>
      <c r="K34" s="309">
        <f t="shared" si="1"/>
        <v>3.4373568490000022</v>
      </c>
      <c r="L34" s="309">
        <f t="shared" si="6"/>
        <v>-0.54672120891948517</v>
      </c>
      <c r="N34" s="315">
        <v>8.64</v>
      </c>
      <c r="O34" s="306">
        <v>3.37</v>
      </c>
      <c r="P34" s="306">
        <v>48.7</v>
      </c>
      <c r="Q34" s="314">
        <v>-6.05</v>
      </c>
      <c r="R34" s="314">
        <v>5.6991153846153803E-2</v>
      </c>
      <c r="S34" s="314">
        <v>-7.3595332880214803</v>
      </c>
      <c r="T34" s="306">
        <v>1</v>
      </c>
      <c r="U34" s="314"/>
      <c r="V34" s="309">
        <f t="shared" si="2"/>
        <v>5.2026431509999984</v>
      </c>
      <c r="W34" s="309">
        <f t="shared" si="3"/>
        <v>3.4373568490000022</v>
      </c>
      <c r="X34" s="309">
        <f t="shared" si="7"/>
        <v>-0.54672120891948517</v>
      </c>
      <c r="Z34" s="315">
        <v>8.64</v>
      </c>
      <c r="AA34" s="306">
        <v>3.37</v>
      </c>
      <c r="AB34" s="306">
        <v>48.7</v>
      </c>
      <c r="AC34" s="314">
        <v>-6.05</v>
      </c>
      <c r="AD34" s="314">
        <v>5.6991153846153803E-2</v>
      </c>
      <c r="AE34" s="314">
        <v>-7.3595332880214803</v>
      </c>
      <c r="AF34" s="306">
        <v>1</v>
      </c>
      <c r="AG34" s="314"/>
      <c r="AH34" s="309">
        <f t="shared" si="4"/>
        <v>5.2026431509999984</v>
      </c>
      <c r="AI34" s="309">
        <f t="shared" si="5"/>
        <v>3.4373568490000022</v>
      </c>
      <c r="AJ34" s="309">
        <f t="shared" si="8"/>
        <v>-0.54672120891948517</v>
      </c>
      <c r="AP34"/>
    </row>
    <row r="35" spans="1:42">
      <c r="A35" s="307">
        <v>40268</v>
      </c>
      <c r="B35" s="315">
        <v>5.95</v>
      </c>
      <c r="C35" s="306">
        <v>3.71</v>
      </c>
      <c r="D35" s="306">
        <v>50.7</v>
      </c>
      <c r="E35" s="314">
        <v>-6.8250000000000002</v>
      </c>
      <c r="F35" s="314">
        <v>3.60092307692308E-2</v>
      </c>
      <c r="G35" s="314">
        <v>-5.9357664535190002</v>
      </c>
      <c r="H35" s="306">
        <v>1</v>
      </c>
      <c r="I35" s="314"/>
      <c r="J35" s="309">
        <f t="shared" ref="J35:J66" si="9">$C$80+$B$83*C35+$B$84*D35+$B$85*E35+$B$86*H35</f>
        <v>5.7399941954999996</v>
      </c>
      <c r="K35" s="309">
        <f t="shared" ref="K35:K66" si="10">B35-J35</f>
        <v>0.21000580450000061</v>
      </c>
      <c r="L35" s="309">
        <f t="shared" si="6"/>
        <v>-0.43884879481762368</v>
      </c>
      <c r="N35" s="315">
        <v>5.95</v>
      </c>
      <c r="O35" s="306">
        <v>3.71</v>
      </c>
      <c r="P35" s="306">
        <v>50.7</v>
      </c>
      <c r="Q35" s="314">
        <v>-6.8250000000000002</v>
      </c>
      <c r="R35" s="314">
        <v>3.60092307692308E-2</v>
      </c>
      <c r="S35" s="314">
        <v>-5.9357664535190002</v>
      </c>
      <c r="T35" s="306">
        <v>1</v>
      </c>
      <c r="U35" s="314"/>
      <c r="V35" s="309">
        <f t="shared" ref="V35:V66" si="11">$C$80+$B$83*O35+$B$84*P35+$B$85*Q35+$B$86*T35</f>
        <v>5.7399941954999996</v>
      </c>
      <c r="W35" s="309">
        <f t="shared" ref="W35:W66" si="12">N35-V35</f>
        <v>0.21000580450000061</v>
      </c>
      <c r="X35" s="309">
        <f t="shared" si="7"/>
        <v>-0.43884879481762368</v>
      </c>
      <c r="Z35" s="315">
        <v>5.95</v>
      </c>
      <c r="AA35" s="306">
        <v>3.71</v>
      </c>
      <c r="AB35" s="306">
        <v>50.7</v>
      </c>
      <c r="AC35" s="314">
        <v>-6.8250000000000002</v>
      </c>
      <c r="AD35" s="314">
        <v>3.60092307692308E-2</v>
      </c>
      <c r="AE35" s="314">
        <v>-5.9357664535190002</v>
      </c>
      <c r="AF35" s="306">
        <v>1</v>
      </c>
      <c r="AG35" s="314"/>
      <c r="AH35" s="309">
        <f t="shared" ref="AH35:AH66" si="13">$C$80+$B$83*AA35+$B$84*AB35+$B$85*AC35+$B$86*AF35</f>
        <v>5.7399941954999996</v>
      </c>
      <c r="AI35" s="309">
        <f t="shared" ref="AI35:AI66" si="14">Z35-AH35</f>
        <v>0.21000580450000061</v>
      </c>
      <c r="AJ35" s="309">
        <f t="shared" si="8"/>
        <v>-0.43884879481762368</v>
      </c>
      <c r="AP35"/>
    </row>
    <row r="36" spans="1:42">
      <c r="A36" s="307">
        <v>40359</v>
      </c>
      <c r="B36" s="315">
        <v>6.22</v>
      </c>
      <c r="C36" s="306">
        <v>3.82</v>
      </c>
      <c r="D36" s="306">
        <v>51.7</v>
      </c>
      <c r="E36" s="314">
        <v>-6.125</v>
      </c>
      <c r="F36" s="314">
        <v>5.9723230769230799E-2</v>
      </c>
      <c r="G36" s="314">
        <v>-4.48563480790044</v>
      </c>
      <c r="H36" s="306">
        <v>1</v>
      </c>
      <c r="I36" s="314"/>
      <c r="J36" s="309">
        <f t="shared" si="9"/>
        <v>5.6061705634999992</v>
      </c>
      <c r="K36" s="309">
        <f t="shared" si="10"/>
        <v>0.61382943650000055</v>
      </c>
      <c r="L36" s="309">
        <f t="shared" ref="L36:L67" si="15">$B$89+$B$90*K35+$B$91*(C36-C35)+$B$92*(D36-D35)+$B$93*(E36-E35)+$B$94*(H36-H35)+$B$95*F36+$B$96*G36</f>
        <v>-0.10269587585029832</v>
      </c>
      <c r="N36" s="315">
        <v>6.22</v>
      </c>
      <c r="O36" s="306">
        <v>3.82</v>
      </c>
      <c r="P36" s="306">
        <v>51.7</v>
      </c>
      <c r="Q36" s="314">
        <v>-6.125</v>
      </c>
      <c r="R36" s="314">
        <v>5.9723230769230799E-2</v>
      </c>
      <c r="S36" s="314">
        <v>-4.48563480790044</v>
      </c>
      <c r="T36" s="306">
        <v>1</v>
      </c>
      <c r="U36" s="314"/>
      <c r="V36" s="309">
        <f t="shared" si="11"/>
        <v>5.6061705634999992</v>
      </c>
      <c r="W36" s="309">
        <f t="shared" si="12"/>
        <v>0.61382943650000055</v>
      </c>
      <c r="X36" s="309">
        <f t="shared" ref="X36:X67" si="16">$B$89+$B$90*W35+$B$91*(O36-O35)+$B$92*(P36-P35)+$B$93*(Q36-Q35)+$B$94*(T36-T35)+$B$95*R36+$B$96*S36</f>
        <v>-0.10269587585029832</v>
      </c>
      <c r="Z36" s="315">
        <v>6.22</v>
      </c>
      <c r="AA36" s="306">
        <v>3.82</v>
      </c>
      <c r="AB36" s="306">
        <v>51.7</v>
      </c>
      <c r="AC36" s="314">
        <v>-6.125</v>
      </c>
      <c r="AD36" s="314">
        <v>5.9723230769230799E-2</v>
      </c>
      <c r="AE36" s="314">
        <v>-4.48563480790044</v>
      </c>
      <c r="AF36" s="306">
        <v>1</v>
      </c>
      <c r="AG36" s="314"/>
      <c r="AH36" s="309">
        <f t="shared" si="13"/>
        <v>5.6061705634999992</v>
      </c>
      <c r="AI36" s="309">
        <f t="shared" si="14"/>
        <v>0.61382943650000055</v>
      </c>
      <c r="AJ36" s="309">
        <f t="shared" ref="AJ36:AJ67" si="17">$B$89+$B$90*AI35+$B$91*(AA36-AA35)+$B$92*(AB36-AB35)+$B$93*(AC36-AC35)+$B$94*(AF36-AF35)+$B$95*AD36+$B$96*AE36</f>
        <v>-0.10269587585029832</v>
      </c>
      <c r="AP36"/>
    </row>
    <row r="37" spans="1:42">
      <c r="A37" s="307">
        <v>40451</v>
      </c>
      <c r="B37" s="315">
        <v>6.56</v>
      </c>
      <c r="C37" s="306">
        <v>2.99</v>
      </c>
      <c r="D37" s="306">
        <v>55.3</v>
      </c>
      <c r="E37" s="314">
        <v>-5.6749999999999998</v>
      </c>
      <c r="F37" s="314">
        <v>6.5836692307692304E-2</v>
      </c>
      <c r="G37" s="314">
        <v>-2.1600179659596899</v>
      </c>
      <c r="H37" s="306">
        <v>1</v>
      </c>
      <c r="I37" s="314"/>
      <c r="J37" s="309">
        <f t="shared" si="9"/>
        <v>4.5901956144999989</v>
      </c>
      <c r="K37" s="309">
        <f t="shared" si="10"/>
        <v>1.9698043855000007</v>
      </c>
      <c r="L37" s="309">
        <f t="shared" si="15"/>
        <v>-0.41446262001001855</v>
      </c>
      <c r="N37" s="315">
        <v>6.56</v>
      </c>
      <c r="O37" s="306">
        <v>2.99</v>
      </c>
      <c r="P37" s="306">
        <v>55.3</v>
      </c>
      <c r="Q37" s="314">
        <v>-5.6749999999999998</v>
      </c>
      <c r="R37" s="314">
        <v>6.5836692307692304E-2</v>
      </c>
      <c r="S37" s="314">
        <v>-2.1600179659596899</v>
      </c>
      <c r="T37" s="306">
        <v>1</v>
      </c>
      <c r="U37" s="314"/>
      <c r="V37" s="309">
        <f t="shared" si="11"/>
        <v>4.5901956144999989</v>
      </c>
      <c r="W37" s="309">
        <f t="shared" si="12"/>
        <v>1.9698043855000007</v>
      </c>
      <c r="X37" s="309">
        <f t="shared" si="16"/>
        <v>-0.41446262001001855</v>
      </c>
      <c r="Z37" s="315">
        <v>6.56</v>
      </c>
      <c r="AA37" s="306">
        <v>2.99</v>
      </c>
      <c r="AB37" s="306">
        <v>55.3</v>
      </c>
      <c r="AC37" s="314">
        <v>-5.6749999999999998</v>
      </c>
      <c r="AD37" s="314">
        <v>6.5836692307692304E-2</v>
      </c>
      <c r="AE37" s="314">
        <v>-2.1600179659596899</v>
      </c>
      <c r="AF37" s="306">
        <v>1</v>
      </c>
      <c r="AG37" s="314"/>
      <c r="AH37" s="309">
        <f t="shared" si="13"/>
        <v>4.5901956144999989</v>
      </c>
      <c r="AI37" s="309">
        <f t="shared" si="14"/>
        <v>1.9698043855000007</v>
      </c>
      <c r="AJ37" s="309">
        <f t="shared" si="17"/>
        <v>-0.41446262001001855</v>
      </c>
      <c r="AP37"/>
    </row>
    <row r="38" spans="1:42">
      <c r="A38" s="307">
        <v>40543</v>
      </c>
      <c r="B38" s="315">
        <v>6.41</v>
      </c>
      <c r="C38" s="306">
        <v>2.52</v>
      </c>
      <c r="D38" s="306">
        <v>57.8</v>
      </c>
      <c r="E38" s="314">
        <v>-6.65</v>
      </c>
      <c r="F38" s="314">
        <v>6.4980785714285699E-2</v>
      </c>
      <c r="G38" s="314">
        <v>-1.49638622617203</v>
      </c>
      <c r="H38" s="306">
        <v>1</v>
      </c>
      <c r="I38" s="314"/>
      <c r="J38" s="309">
        <f t="shared" si="9"/>
        <v>4.3954823309999984</v>
      </c>
      <c r="K38" s="309">
        <f t="shared" si="10"/>
        <v>2.0145176690000017</v>
      </c>
      <c r="L38" s="309">
        <f t="shared" si="15"/>
        <v>-0.36288124257543009</v>
      </c>
      <c r="N38" s="315">
        <v>6.41</v>
      </c>
      <c r="O38" s="306">
        <v>2.52</v>
      </c>
      <c r="P38" s="306">
        <v>57.8</v>
      </c>
      <c r="Q38" s="314">
        <v>-6.65</v>
      </c>
      <c r="R38" s="314">
        <v>6.4980785714285699E-2</v>
      </c>
      <c r="S38" s="314">
        <v>-1.49638622617203</v>
      </c>
      <c r="T38" s="306">
        <v>1</v>
      </c>
      <c r="U38" s="314"/>
      <c r="V38" s="309">
        <f t="shared" si="11"/>
        <v>4.3954823309999984</v>
      </c>
      <c r="W38" s="309">
        <f t="shared" si="12"/>
        <v>2.0145176690000017</v>
      </c>
      <c r="X38" s="309">
        <f t="shared" si="16"/>
        <v>-0.36288124257543009</v>
      </c>
      <c r="Z38" s="315">
        <v>6.41</v>
      </c>
      <c r="AA38" s="306">
        <v>2.52</v>
      </c>
      <c r="AB38" s="306">
        <v>57.8</v>
      </c>
      <c r="AC38" s="314">
        <v>-6.65</v>
      </c>
      <c r="AD38" s="314">
        <v>6.4980785714285699E-2</v>
      </c>
      <c r="AE38" s="314">
        <v>-1.49638622617203</v>
      </c>
      <c r="AF38" s="306">
        <v>1</v>
      </c>
      <c r="AG38" s="314"/>
      <c r="AH38" s="309">
        <f t="shared" si="13"/>
        <v>4.3954823309999984</v>
      </c>
      <c r="AI38" s="309">
        <f t="shared" si="14"/>
        <v>2.0145176690000017</v>
      </c>
      <c r="AJ38" s="309">
        <f t="shared" si="17"/>
        <v>-0.36288124257543009</v>
      </c>
      <c r="AP38"/>
    </row>
    <row r="39" spans="1:42">
      <c r="A39" s="307">
        <v>40633</v>
      </c>
      <c r="B39" s="315">
        <v>6.55</v>
      </c>
      <c r="C39" s="306">
        <v>3.37</v>
      </c>
      <c r="D39" s="306">
        <v>62.6</v>
      </c>
      <c r="E39" s="314">
        <v>-7.125</v>
      </c>
      <c r="F39" s="314">
        <v>5.1850833333333297E-2</v>
      </c>
      <c r="G39" s="314">
        <v>-1.45271643036778</v>
      </c>
      <c r="H39" s="306">
        <v>1</v>
      </c>
      <c r="I39" s="314"/>
      <c r="J39" s="309">
        <f t="shared" si="9"/>
        <v>5.2796465635000001</v>
      </c>
      <c r="K39" s="309">
        <f t="shared" si="10"/>
        <v>1.2703534364999998</v>
      </c>
      <c r="L39" s="309">
        <f t="shared" si="15"/>
        <v>0.11337177838077669</v>
      </c>
      <c r="N39" s="315">
        <v>6.55</v>
      </c>
      <c r="O39" s="306">
        <v>3.37</v>
      </c>
      <c r="P39" s="306">
        <v>62.6</v>
      </c>
      <c r="Q39" s="314">
        <v>-7.125</v>
      </c>
      <c r="R39" s="314">
        <v>5.1850833333333297E-2</v>
      </c>
      <c r="S39" s="314">
        <v>-1.45271643036778</v>
      </c>
      <c r="T39" s="306">
        <v>1</v>
      </c>
      <c r="U39" s="314"/>
      <c r="V39" s="309">
        <f t="shared" si="11"/>
        <v>5.2796465635000001</v>
      </c>
      <c r="W39" s="309">
        <f t="shared" si="12"/>
        <v>1.2703534364999998</v>
      </c>
      <c r="X39" s="309">
        <f t="shared" si="16"/>
        <v>0.11337177838077669</v>
      </c>
      <c r="Z39" s="315">
        <v>6.55</v>
      </c>
      <c r="AA39" s="306">
        <v>3.37</v>
      </c>
      <c r="AB39" s="306">
        <v>62.6</v>
      </c>
      <c r="AC39" s="314">
        <v>-7.125</v>
      </c>
      <c r="AD39" s="314">
        <v>5.1850833333333297E-2</v>
      </c>
      <c r="AE39" s="314">
        <v>-1.45271643036778</v>
      </c>
      <c r="AF39" s="306">
        <v>1</v>
      </c>
      <c r="AG39" s="314"/>
      <c r="AH39" s="309">
        <f t="shared" si="13"/>
        <v>5.2796465635000001</v>
      </c>
      <c r="AI39" s="309">
        <f t="shared" si="14"/>
        <v>1.2703534364999998</v>
      </c>
      <c r="AJ39" s="309">
        <f t="shared" si="17"/>
        <v>0.11337177838077669</v>
      </c>
      <c r="AP39"/>
    </row>
    <row r="40" spans="1:42">
      <c r="A40" s="307">
        <v>40724</v>
      </c>
      <c r="B40" s="315">
        <v>6.1</v>
      </c>
      <c r="C40" s="306">
        <v>3.43</v>
      </c>
      <c r="D40" s="306">
        <v>61.6</v>
      </c>
      <c r="E40" s="314">
        <v>-7.7</v>
      </c>
      <c r="F40" s="314">
        <v>5.37500769230769E-2</v>
      </c>
      <c r="G40" s="314">
        <v>-0.42446117994897598</v>
      </c>
      <c r="H40" s="306">
        <v>1</v>
      </c>
      <c r="I40" s="314"/>
      <c r="J40" s="309">
        <f t="shared" si="9"/>
        <v>5.5388411839999989</v>
      </c>
      <c r="K40" s="309">
        <f t="shared" si="10"/>
        <v>0.56115881600000073</v>
      </c>
      <c r="L40" s="309">
        <f t="shared" si="15"/>
        <v>-0.18724851239939971</v>
      </c>
      <c r="N40" s="315">
        <v>6.1</v>
      </c>
      <c r="O40" s="306">
        <v>3.43</v>
      </c>
      <c r="P40" s="306">
        <v>61.6</v>
      </c>
      <c r="Q40" s="314">
        <v>-7.7</v>
      </c>
      <c r="R40" s="314">
        <v>5.37500769230769E-2</v>
      </c>
      <c r="S40" s="314">
        <v>-0.42446117994897598</v>
      </c>
      <c r="T40" s="306">
        <v>1</v>
      </c>
      <c r="U40" s="314"/>
      <c r="V40" s="309">
        <f t="shared" si="11"/>
        <v>5.5388411839999989</v>
      </c>
      <c r="W40" s="309">
        <f t="shared" si="12"/>
        <v>0.56115881600000073</v>
      </c>
      <c r="X40" s="309">
        <f t="shared" si="16"/>
        <v>-0.18724851239939971</v>
      </c>
      <c r="Z40" s="315">
        <v>6.1</v>
      </c>
      <c r="AA40" s="306">
        <v>3.43</v>
      </c>
      <c r="AB40" s="306">
        <v>61.6</v>
      </c>
      <c r="AC40" s="314">
        <v>-7.7</v>
      </c>
      <c r="AD40" s="314">
        <v>5.37500769230769E-2</v>
      </c>
      <c r="AE40" s="314">
        <v>-0.42446117994897598</v>
      </c>
      <c r="AF40" s="306">
        <v>1</v>
      </c>
      <c r="AG40" s="314"/>
      <c r="AH40" s="309">
        <f t="shared" si="13"/>
        <v>5.5388411839999989</v>
      </c>
      <c r="AI40" s="309">
        <f t="shared" si="14"/>
        <v>0.56115881600000073</v>
      </c>
      <c r="AJ40" s="309">
        <f t="shared" si="17"/>
        <v>-0.18724851239939971</v>
      </c>
      <c r="AP40"/>
    </row>
    <row r="41" spans="1:42">
      <c r="A41" s="307">
        <v>40816</v>
      </c>
      <c r="B41" s="315">
        <v>6.24</v>
      </c>
      <c r="C41" s="306">
        <v>2.98</v>
      </c>
      <c r="D41" s="306">
        <v>63.8</v>
      </c>
      <c r="E41" s="314">
        <v>-8.0749999999999993</v>
      </c>
      <c r="F41" s="314">
        <v>0.102603428571429</v>
      </c>
      <c r="G41" s="314">
        <v>-0.68859731402907098</v>
      </c>
      <c r="H41" s="306">
        <v>1</v>
      </c>
      <c r="I41" s="314"/>
      <c r="J41" s="309">
        <f t="shared" si="9"/>
        <v>5.1792666664999985</v>
      </c>
      <c r="K41" s="309">
        <f t="shared" si="10"/>
        <v>1.0607333335000018</v>
      </c>
      <c r="L41" s="309">
        <f t="shared" si="15"/>
        <v>-8.5063585235112434E-3</v>
      </c>
      <c r="N41" s="315">
        <v>6.24</v>
      </c>
      <c r="O41" s="306">
        <v>2.98</v>
      </c>
      <c r="P41" s="306">
        <v>63.8</v>
      </c>
      <c r="Q41" s="314">
        <v>-8.0749999999999993</v>
      </c>
      <c r="R41" s="314">
        <v>0.102603428571429</v>
      </c>
      <c r="S41" s="314">
        <v>-0.68859731402907098</v>
      </c>
      <c r="T41" s="306">
        <v>1</v>
      </c>
      <c r="U41" s="314"/>
      <c r="V41" s="309">
        <f t="shared" si="11"/>
        <v>5.1792666664999985</v>
      </c>
      <c r="W41" s="309">
        <f t="shared" si="12"/>
        <v>1.0607333335000018</v>
      </c>
      <c r="X41" s="309">
        <f t="shared" si="16"/>
        <v>-8.5063585235112434E-3</v>
      </c>
      <c r="Z41" s="315">
        <v>6.24</v>
      </c>
      <c r="AA41" s="306">
        <v>2.98</v>
      </c>
      <c r="AB41" s="306">
        <v>63.8</v>
      </c>
      <c r="AC41" s="314">
        <v>-8.0749999999999993</v>
      </c>
      <c r="AD41" s="314">
        <v>0.102603428571429</v>
      </c>
      <c r="AE41" s="314">
        <v>-0.68859731402907098</v>
      </c>
      <c r="AF41" s="306">
        <v>1</v>
      </c>
      <c r="AG41" s="314"/>
      <c r="AH41" s="309">
        <f t="shared" si="13"/>
        <v>5.1792666664999985</v>
      </c>
      <c r="AI41" s="309">
        <f t="shared" si="14"/>
        <v>1.0607333335000018</v>
      </c>
      <c r="AJ41" s="309">
        <f t="shared" si="17"/>
        <v>-8.5063585235112434E-3</v>
      </c>
      <c r="AP41"/>
    </row>
    <row r="42" spans="1:42">
      <c r="A42" s="307">
        <v>40908</v>
      </c>
      <c r="B42" s="315">
        <v>6.81</v>
      </c>
      <c r="C42" s="306">
        <v>2.13</v>
      </c>
      <c r="D42" s="306">
        <v>64.400000000000006</v>
      </c>
      <c r="E42" s="314">
        <v>-8.125</v>
      </c>
      <c r="F42" s="314">
        <v>0.102258384615385</v>
      </c>
      <c r="G42" s="314">
        <v>-0.309897432373407</v>
      </c>
      <c r="H42" s="306">
        <v>1</v>
      </c>
      <c r="I42" s="314"/>
      <c r="J42" s="309">
        <f t="shared" si="9"/>
        <v>4.3590102114999993</v>
      </c>
      <c r="K42" s="309">
        <f t="shared" si="10"/>
        <v>2.4509897885000003</v>
      </c>
      <c r="L42" s="309">
        <f t="shared" si="15"/>
        <v>-0.26711034865785616</v>
      </c>
      <c r="N42" s="315">
        <v>6.81</v>
      </c>
      <c r="O42" s="306">
        <v>2.13</v>
      </c>
      <c r="P42" s="306">
        <v>64.400000000000006</v>
      </c>
      <c r="Q42" s="314">
        <v>-8.125</v>
      </c>
      <c r="R42" s="314">
        <v>0.102258384615385</v>
      </c>
      <c r="S42" s="314">
        <v>-0.309897432373407</v>
      </c>
      <c r="T42" s="306">
        <v>1</v>
      </c>
      <c r="U42" s="314"/>
      <c r="V42" s="309">
        <f t="shared" si="11"/>
        <v>4.3590102114999993</v>
      </c>
      <c r="W42" s="309">
        <f t="shared" si="12"/>
        <v>2.4509897885000003</v>
      </c>
      <c r="X42" s="309">
        <f t="shared" si="16"/>
        <v>-0.26711034865785616</v>
      </c>
      <c r="Z42" s="315">
        <v>6.81</v>
      </c>
      <c r="AA42" s="306">
        <v>2.13</v>
      </c>
      <c r="AB42" s="306">
        <v>64.400000000000006</v>
      </c>
      <c r="AC42" s="314">
        <v>-8.125</v>
      </c>
      <c r="AD42" s="314">
        <v>0.102258384615385</v>
      </c>
      <c r="AE42" s="314">
        <v>-0.309897432373407</v>
      </c>
      <c r="AF42" s="306">
        <v>1</v>
      </c>
      <c r="AG42" s="314"/>
      <c r="AH42" s="309">
        <f t="shared" si="13"/>
        <v>4.3590102114999993</v>
      </c>
      <c r="AI42" s="309">
        <f t="shared" si="14"/>
        <v>2.4509897885000003</v>
      </c>
      <c r="AJ42" s="309">
        <f t="shared" si="17"/>
        <v>-0.26711034865785616</v>
      </c>
      <c r="AP42"/>
    </row>
    <row r="43" spans="1:42">
      <c r="A43" s="307">
        <v>40999</v>
      </c>
      <c r="B43" s="315">
        <v>7.54</v>
      </c>
      <c r="C43" s="306">
        <v>1.94</v>
      </c>
      <c r="D43" s="306">
        <v>66.7</v>
      </c>
      <c r="E43" s="314">
        <v>-6.9749999999999996</v>
      </c>
      <c r="F43" s="314">
        <v>7.6845846153846195E-2</v>
      </c>
      <c r="G43" s="314">
        <v>-3.9672722328854E-2</v>
      </c>
      <c r="H43" s="306">
        <v>1</v>
      </c>
      <c r="I43" s="314"/>
      <c r="J43" s="309">
        <f t="shared" si="9"/>
        <v>3.7670196945000005</v>
      </c>
      <c r="K43" s="309">
        <f t="shared" si="10"/>
        <v>3.7729803054999995</v>
      </c>
      <c r="L43" s="309">
        <f t="shared" si="15"/>
        <v>-0.32360658432749151</v>
      </c>
      <c r="N43" s="315">
        <v>7.54</v>
      </c>
      <c r="O43" s="306">
        <v>1.94</v>
      </c>
      <c r="P43" s="306">
        <v>66.7</v>
      </c>
      <c r="Q43" s="314">
        <v>-6.9749999999999996</v>
      </c>
      <c r="R43" s="314">
        <v>7.6845846153846195E-2</v>
      </c>
      <c r="S43" s="314">
        <v>-3.9672722328854E-2</v>
      </c>
      <c r="T43" s="306">
        <v>1</v>
      </c>
      <c r="U43" s="314"/>
      <c r="V43" s="309">
        <f t="shared" si="11"/>
        <v>3.7670196945000005</v>
      </c>
      <c r="W43" s="309">
        <f t="shared" si="12"/>
        <v>3.7729803054999995</v>
      </c>
      <c r="X43" s="309">
        <f t="shared" si="16"/>
        <v>-0.32360658432749151</v>
      </c>
      <c r="Z43" s="315">
        <v>7.54</v>
      </c>
      <c r="AA43" s="306">
        <v>1.94</v>
      </c>
      <c r="AB43" s="306">
        <v>66.7</v>
      </c>
      <c r="AC43" s="314">
        <v>-6.9749999999999996</v>
      </c>
      <c r="AD43" s="314">
        <v>7.6845846153846195E-2</v>
      </c>
      <c r="AE43" s="314">
        <v>-3.9672722328854E-2</v>
      </c>
      <c r="AF43" s="306">
        <v>1</v>
      </c>
      <c r="AG43" s="314"/>
      <c r="AH43" s="309">
        <f t="shared" si="13"/>
        <v>3.7670196945000005</v>
      </c>
      <c r="AI43" s="309">
        <f t="shared" si="14"/>
        <v>3.7729803054999995</v>
      </c>
      <c r="AJ43" s="309">
        <f t="shared" si="17"/>
        <v>-0.32360658432749151</v>
      </c>
      <c r="AP43"/>
    </row>
    <row r="44" spans="1:42">
      <c r="A44" s="307">
        <v>41090</v>
      </c>
      <c r="B44" s="315">
        <v>6.59</v>
      </c>
      <c r="C44" s="306">
        <v>2.0299999999999998</v>
      </c>
      <c r="D44" s="306">
        <v>68.599999999999994</v>
      </c>
      <c r="E44" s="314">
        <v>-6.65</v>
      </c>
      <c r="F44" s="314">
        <v>7.5941307692307697E-2</v>
      </c>
      <c r="G44" s="314">
        <v>-1.0832338776172299</v>
      </c>
      <c r="H44" s="306">
        <v>1</v>
      </c>
      <c r="I44" s="314"/>
      <c r="J44" s="309">
        <f t="shared" si="9"/>
        <v>3.7154597289999995</v>
      </c>
      <c r="K44" s="309">
        <f t="shared" si="10"/>
        <v>2.8745402710000003</v>
      </c>
      <c r="L44" s="309">
        <f t="shared" si="15"/>
        <v>-0.34430898892257022</v>
      </c>
      <c r="N44" s="315">
        <v>6.59</v>
      </c>
      <c r="O44" s="306">
        <v>2.0299999999999998</v>
      </c>
      <c r="P44" s="306">
        <v>68.599999999999994</v>
      </c>
      <c r="Q44" s="314">
        <v>-6.65</v>
      </c>
      <c r="R44" s="314">
        <v>7.5941307692307697E-2</v>
      </c>
      <c r="S44" s="314">
        <v>-1.0832338776172299</v>
      </c>
      <c r="T44" s="306">
        <v>1</v>
      </c>
      <c r="U44" s="314"/>
      <c r="V44" s="309">
        <f t="shared" si="11"/>
        <v>3.7154597289999995</v>
      </c>
      <c r="W44" s="309">
        <f t="shared" si="12"/>
        <v>2.8745402710000003</v>
      </c>
      <c r="X44" s="309">
        <f t="shared" si="16"/>
        <v>-0.34430898892257022</v>
      </c>
      <c r="Z44" s="315">
        <v>6.59</v>
      </c>
      <c r="AA44" s="306">
        <v>2.0299999999999998</v>
      </c>
      <c r="AB44" s="306">
        <v>68.599999999999994</v>
      </c>
      <c r="AC44" s="314">
        <v>-6.65</v>
      </c>
      <c r="AD44" s="314">
        <v>7.5941307692307697E-2</v>
      </c>
      <c r="AE44" s="314">
        <v>-1.0832338776172299</v>
      </c>
      <c r="AF44" s="306">
        <v>1</v>
      </c>
      <c r="AG44" s="314"/>
      <c r="AH44" s="309">
        <f t="shared" si="13"/>
        <v>3.7154597289999995</v>
      </c>
      <c r="AI44" s="309">
        <f t="shared" si="14"/>
        <v>2.8745402710000003</v>
      </c>
      <c r="AJ44" s="309">
        <f t="shared" si="17"/>
        <v>-0.34430898892257022</v>
      </c>
      <c r="AP44"/>
    </row>
    <row r="45" spans="1:42">
      <c r="A45" s="307">
        <v>41182</v>
      </c>
      <c r="B45" s="315">
        <v>6.43</v>
      </c>
      <c r="C45" s="306">
        <v>1.5</v>
      </c>
      <c r="D45" s="306">
        <v>68.400000000000006</v>
      </c>
      <c r="E45" s="314">
        <v>-6.15</v>
      </c>
      <c r="F45" s="314">
        <v>5.88265384615385E-2</v>
      </c>
      <c r="G45" s="314">
        <v>-1.5803100172232001</v>
      </c>
      <c r="H45" s="306">
        <v>1</v>
      </c>
      <c r="I45" s="314"/>
      <c r="J45" s="309">
        <f t="shared" si="9"/>
        <v>3.0467205649999998</v>
      </c>
      <c r="K45" s="309">
        <f t="shared" si="10"/>
        <v>3.3832794349999999</v>
      </c>
      <c r="L45" s="309">
        <f t="shared" si="15"/>
        <v>-0.6405713067256662</v>
      </c>
      <c r="N45" s="315">
        <v>6.43</v>
      </c>
      <c r="O45" s="306">
        <v>1.5</v>
      </c>
      <c r="P45" s="306">
        <v>68.400000000000006</v>
      </c>
      <c r="Q45" s="314">
        <v>-6.15</v>
      </c>
      <c r="R45" s="314">
        <v>5.88265384615385E-2</v>
      </c>
      <c r="S45" s="314">
        <v>-1.5803100172232001</v>
      </c>
      <c r="T45" s="306">
        <v>1</v>
      </c>
      <c r="U45" s="314"/>
      <c r="V45" s="309">
        <f t="shared" si="11"/>
        <v>3.0467205649999998</v>
      </c>
      <c r="W45" s="309">
        <f t="shared" si="12"/>
        <v>3.3832794349999999</v>
      </c>
      <c r="X45" s="309">
        <f t="shared" si="16"/>
        <v>-0.6405713067256662</v>
      </c>
      <c r="Z45" s="315">
        <v>6.43</v>
      </c>
      <c r="AA45" s="306">
        <v>1.5</v>
      </c>
      <c r="AB45" s="306">
        <v>68.400000000000006</v>
      </c>
      <c r="AC45" s="314">
        <v>-6.15</v>
      </c>
      <c r="AD45" s="314">
        <v>5.88265384615385E-2</v>
      </c>
      <c r="AE45" s="314">
        <v>-1.5803100172232001</v>
      </c>
      <c r="AF45" s="306">
        <v>1</v>
      </c>
      <c r="AG45" s="314"/>
      <c r="AH45" s="309">
        <f t="shared" si="13"/>
        <v>3.0467205649999998</v>
      </c>
      <c r="AI45" s="309">
        <f t="shared" si="14"/>
        <v>3.3832794349999999</v>
      </c>
      <c r="AJ45" s="309">
        <f t="shared" si="17"/>
        <v>-0.6405713067256662</v>
      </c>
      <c r="AP45"/>
    </row>
    <row r="46" spans="1:42">
      <c r="A46" s="307">
        <v>41274</v>
      </c>
      <c r="B46" s="315">
        <v>4.78</v>
      </c>
      <c r="C46" s="306">
        <v>1.72</v>
      </c>
      <c r="D46" s="306">
        <v>70.099999999999994</v>
      </c>
      <c r="E46" s="314">
        <v>-5.5</v>
      </c>
      <c r="F46" s="314">
        <v>3.1239538461538499E-2</v>
      </c>
      <c r="G46" s="314">
        <v>-2.23761949128233</v>
      </c>
      <c r="H46" s="306">
        <v>1</v>
      </c>
      <c r="I46" s="314"/>
      <c r="J46" s="309">
        <f t="shared" si="9"/>
        <v>3.0221935559999999</v>
      </c>
      <c r="K46" s="309">
        <f t="shared" si="10"/>
        <v>1.7578064440000003</v>
      </c>
      <c r="L46" s="309">
        <f t="shared" si="15"/>
        <v>-0.53047016454127027</v>
      </c>
      <c r="N46" s="315">
        <v>4.78</v>
      </c>
      <c r="O46" s="306">
        <v>1.72</v>
      </c>
      <c r="P46" s="306">
        <v>70.099999999999994</v>
      </c>
      <c r="Q46" s="314">
        <v>-5.5</v>
      </c>
      <c r="R46" s="314">
        <v>3.1239538461538499E-2</v>
      </c>
      <c r="S46" s="314">
        <v>-2.23761949128233</v>
      </c>
      <c r="T46" s="306">
        <v>1</v>
      </c>
      <c r="U46" s="314"/>
      <c r="V46" s="309">
        <f t="shared" si="11"/>
        <v>3.0221935559999999</v>
      </c>
      <c r="W46" s="309">
        <f t="shared" si="12"/>
        <v>1.7578064440000003</v>
      </c>
      <c r="X46" s="309">
        <f t="shared" si="16"/>
        <v>-0.53047016454127027</v>
      </c>
      <c r="Z46" s="315">
        <v>4.78</v>
      </c>
      <c r="AA46" s="306">
        <v>1.72</v>
      </c>
      <c r="AB46" s="306">
        <v>70.099999999999994</v>
      </c>
      <c r="AC46" s="314">
        <v>-5.5</v>
      </c>
      <c r="AD46" s="314">
        <v>3.1239538461538499E-2</v>
      </c>
      <c r="AE46" s="314">
        <v>-2.23761949128233</v>
      </c>
      <c r="AF46" s="306">
        <v>1</v>
      </c>
      <c r="AG46" s="314"/>
      <c r="AH46" s="309">
        <f t="shared" si="13"/>
        <v>3.0221935559999999</v>
      </c>
      <c r="AI46" s="309">
        <f t="shared" si="14"/>
        <v>1.7578064440000003</v>
      </c>
      <c r="AJ46" s="309">
        <f t="shared" si="17"/>
        <v>-0.53047016454127027</v>
      </c>
      <c r="AP46"/>
    </row>
    <row r="47" spans="1:42">
      <c r="A47" s="307">
        <v>41364</v>
      </c>
      <c r="B47" s="315">
        <v>4.29</v>
      </c>
      <c r="C47" s="306">
        <v>1.89</v>
      </c>
      <c r="D47" s="306">
        <v>71.900000000000006</v>
      </c>
      <c r="E47" s="314">
        <v>-5.6</v>
      </c>
      <c r="F47" s="314">
        <v>4.14683076923077E-2</v>
      </c>
      <c r="G47" s="314">
        <v>-2.2345945198698498</v>
      </c>
      <c r="H47" s="306">
        <v>0</v>
      </c>
      <c r="I47" s="314"/>
      <c r="J47" s="309">
        <f t="shared" si="9"/>
        <v>5.3024825719999988</v>
      </c>
      <c r="K47" s="309">
        <f t="shared" si="10"/>
        <v>-1.0124825719999988</v>
      </c>
      <c r="L47" s="309">
        <f t="shared" si="15"/>
        <v>0.31244496107329184</v>
      </c>
      <c r="N47" s="315">
        <v>4.29</v>
      </c>
      <c r="O47" s="306">
        <v>1.89</v>
      </c>
      <c r="P47" s="306">
        <v>71.900000000000006</v>
      </c>
      <c r="Q47" s="314">
        <v>-5.6</v>
      </c>
      <c r="R47" s="314">
        <v>4.14683076923077E-2</v>
      </c>
      <c r="S47" s="314">
        <v>-2.2345945198698498</v>
      </c>
      <c r="T47" s="306">
        <v>0</v>
      </c>
      <c r="U47" s="314"/>
      <c r="V47" s="309">
        <f t="shared" si="11"/>
        <v>5.3024825719999988</v>
      </c>
      <c r="W47" s="309">
        <f t="shared" si="12"/>
        <v>-1.0124825719999988</v>
      </c>
      <c r="X47" s="309">
        <f t="shared" si="16"/>
        <v>0.31244496107329184</v>
      </c>
      <c r="Z47" s="315">
        <v>4.29</v>
      </c>
      <c r="AA47" s="306">
        <v>1.89</v>
      </c>
      <c r="AB47" s="306">
        <v>71.900000000000006</v>
      </c>
      <c r="AC47" s="314">
        <v>-5.6</v>
      </c>
      <c r="AD47" s="314">
        <v>4.14683076923077E-2</v>
      </c>
      <c r="AE47" s="314">
        <v>-2.2345945198698498</v>
      </c>
      <c r="AF47" s="306">
        <v>0</v>
      </c>
      <c r="AG47" s="314"/>
      <c r="AH47" s="309">
        <f t="shared" si="13"/>
        <v>5.3024825719999988</v>
      </c>
      <c r="AI47" s="309">
        <f t="shared" si="14"/>
        <v>-1.0124825719999988</v>
      </c>
      <c r="AJ47" s="309">
        <f t="shared" si="17"/>
        <v>0.31244496107329184</v>
      </c>
      <c r="AP47"/>
    </row>
    <row r="48" spans="1:42">
      <c r="A48" s="307">
        <v>41455</v>
      </c>
      <c r="B48" s="315">
        <v>4.34</v>
      </c>
      <c r="C48" s="306">
        <v>1.73</v>
      </c>
      <c r="D48" s="306">
        <v>74</v>
      </c>
      <c r="E48" s="314">
        <v>-5.2249999999999996</v>
      </c>
      <c r="F48" s="314">
        <v>3.9991538461538502E-2</v>
      </c>
      <c r="G48" s="314">
        <v>-1.4646969611863201</v>
      </c>
      <c r="H48" s="306">
        <v>0</v>
      </c>
      <c r="I48" s="314"/>
      <c r="J48" s="309">
        <f t="shared" si="9"/>
        <v>4.9887402014999997</v>
      </c>
      <c r="K48" s="309">
        <f t="shared" si="10"/>
        <v>-0.64874020149999989</v>
      </c>
      <c r="L48" s="309">
        <f t="shared" si="15"/>
        <v>-0.10786806599428916</v>
      </c>
      <c r="N48" s="315">
        <v>4.34</v>
      </c>
      <c r="O48" s="306">
        <v>1.73</v>
      </c>
      <c r="P48" s="306">
        <v>74</v>
      </c>
      <c r="Q48" s="314">
        <v>-5.2249999999999996</v>
      </c>
      <c r="R48" s="314">
        <v>3.9991538461538502E-2</v>
      </c>
      <c r="S48" s="314">
        <v>-1.4646969611863201</v>
      </c>
      <c r="T48" s="306">
        <v>0</v>
      </c>
      <c r="U48" s="314"/>
      <c r="V48" s="309">
        <f t="shared" si="11"/>
        <v>4.9887402014999997</v>
      </c>
      <c r="W48" s="309">
        <f t="shared" si="12"/>
        <v>-0.64874020149999989</v>
      </c>
      <c r="X48" s="309">
        <f t="shared" si="16"/>
        <v>-0.10786806599428916</v>
      </c>
      <c r="Z48" s="315">
        <v>4.34</v>
      </c>
      <c r="AA48" s="306">
        <v>1.73</v>
      </c>
      <c r="AB48" s="306">
        <v>74</v>
      </c>
      <c r="AC48" s="314">
        <v>-5.2249999999999996</v>
      </c>
      <c r="AD48" s="314">
        <v>3.9991538461538502E-2</v>
      </c>
      <c r="AE48" s="314">
        <v>-1.4646969611863201</v>
      </c>
      <c r="AF48" s="306">
        <v>0</v>
      </c>
      <c r="AG48" s="314"/>
      <c r="AH48" s="309">
        <f t="shared" si="13"/>
        <v>4.9887402014999997</v>
      </c>
      <c r="AI48" s="309">
        <f t="shared" si="14"/>
        <v>-0.64874020149999989</v>
      </c>
      <c r="AJ48" s="309">
        <f t="shared" si="17"/>
        <v>-0.10786806599428916</v>
      </c>
      <c r="AP48"/>
    </row>
    <row r="49" spans="1:42">
      <c r="A49" s="307">
        <v>41547</v>
      </c>
      <c r="B49" s="315">
        <v>4.91</v>
      </c>
      <c r="C49" s="306">
        <v>2.56</v>
      </c>
      <c r="D49" s="306">
        <v>76.599999999999994</v>
      </c>
      <c r="E49" s="314">
        <v>-5.35</v>
      </c>
      <c r="F49" s="314">
        <v>3.4322461538461503E-2</v>
      </c>
      <c r="G49" s="314">
        <v>-1.17846562375807</v>
      </c>
      <c r="H49" s="306">
        <v>0</v>
      </c>
      <c r="I49" s="314"/>
      <c r="J49" s="309">
        <f t="shared" si="9"/>
        <v>5.7843723530000002</v>
      </c>
      <c r="K49" s="309">
        <f t="shared" si="10"/>
        <v>-0.87437235300000005</v>
      </c>
      <c r="L49" s="309">
        <f t="shared" si="15"/>
        <v>0.26256094513131834</v>
      </c>
      <c r="N49" s="315">
        <v>4.91</v>
      </c>
      <c r="O49" s="306">
        <v>2.56</v>
      </c>
      <c r="P49" s="306">
        <v>76.599999999999994</v>
      </c>
      <c r="Q49" s="314">
        <v>-5.35</v>
      </c>
      <c r="R49" s="314">
        <v>3.4322461538461503E-2</v>
      </c>
      <c r="S49" s="314">
        <v>-1.17846562375807</v>
      </c>
      <c r="T49" s="306">
        <v>0</v>
      </c>
      <c r="U49" s="314"/>
      <c r="V49" s="309">
        <f t="shared" si="11"/>
        <v>5.7843723530000002</v>
      </c>
      <c r="W49" s="309">
        <f t="shared" si="12"/>
        <v>-0.87437235300000005</v>
      </c>
      <c r="X49" s="309">
        <f t="shared" si="16"/>
        <v>0.26256094513131834</v>
      </c>
      <c r="Z49" s="315">
        <v>4.91</v>
      </c>
      <c r="AA49" s="306">
        <v>2.56</v>
      </c>
      <c r="AB49" s="306">
        <v>76.599999999999994</v>
      </c>
      <c r="AC49" s="314">
        <v>-5.35</v>
      </c>
      <c r="AD49" s="314">
        <v>3.4322461538461503E-2</v>
      </c>
      <c r="AE49" s="314">
        <v>-1.17846562375807</v>
      </c>
      <c r="AF49" s="306">
        <v>0</v>
      </c>
      <c r="AG49" s="314"/>
      <c r="AH49" s="309">
        <f t="shared" si="13"/>
        <v>5.7843723530000002</v>
      </c>
      <c r="AI49" s="309">
        <f t="shared" si="14"/>
        <v>-0.87437235300000005</v>
      </c>
      <c r="AJ49" s="309">
        <f t="shared" si="17"/>
        <v>0.26256094513131834</v>
      </c>
      <c r="AP49"/>
    </row>
    <row r="50" spans="1:42">
      <c r="A50" s="307">
        <v>41639</v>
      </c>
      <c r="B50" s="315">
        <v>4.99</v>
      </c>
      <c r="C50" s="306">
        <v>2.6</v>
      </c>
      <c r="D50" s="306">
        <v>81.2</v>
      </c>
      <c r="E50" s="314">
        <v>-5.4749999999999996</v>
      </c>
      <c r="F50" s="314">
        <v>2.4435153846153801E-2</v>
      </c>
      <c r="G50" s="314">
        <v>-0.54838328147461801</v>
      </c>
      <c r="H50" s="306">
        <v>0</v>
      </c>
      <c r="I50" s="314"/>
      <c r="J50" s="309">
        <f t="shared" si="9"/>
        <v>5.7756126424999996</v>
      </c>
      <c r="K50" s="309">
        <f t="shared" si="10"/>
        <v>-0.7856126424999994</v>
      </c>
      <c r="L50" s="309">
        <f t="shared" si="15"/>
        <v>-5.0890366366386434E-2</v>
      </c>
      <c r="N50" s="315">
        <v>4.99</v>
      </c>
      <c r="O50" s="306">
        <v>2.6</v>
      </c>
      <c r="P50" s="306">
        <v>81.2</v>
      </c>
      <c r="Q50" s="314">
        <v>-5.4749999999999996</v>
      </c>
      <c r="R50" s="314">
        <v>2.4435153846153801E-2</v>
      </c>
      <c r="S50" s="314">
        <v>-0.54838328147461801</v>
      </c>
      <c r="T50" s="306">
        <v>0</v>
      </c>
      <c r="U50" s="314"/>
      <c r="V50" s="309">
        <f t="shared" si="11"/>
        <v>5.7756126424999996</v>
      </c>
      <c r="W50" s="309">
        <f t="shared" si="12"/>
        <v>-0.7856126424999994</v>
      </c>
      <c r="X50" s="309">
        <f t="shared" si="16"/>
        <v>-5.0890366366386434E-2</v>
      </c>
      <c r="Z50" s="315">
        <v>4.99</v>
      </c>
      <c r="AA50" s="306">
        <v>2.6</v>
      </c>
      <c r="AB50" s="306">
        <v>81.2</v>
      </c>
      <c r="AC50" s="314">
        <v>-5.4749999999999996</v>
      </c>
      <c r="AD50" s="314">
        <v>2.4435153846153801E-2</v>
      </c>
      <c r="AE50" s="314">
        <v>-0.54838328147461801</v>
      </c>
      <c r="AF50" s="306">
        <v>0</v>
      </c>
      <c r="AG50" s="314"/>
      <c r="AH50" s="309">
        <f t="shared" si="13"/>
        <v>5.7756126424999996</v>
      </c>
      <c r="AI50" s="309">
        <f t="shared" si="14"/>
        <v>-0.7856126424999994</v>
      </c>
      <c r="AJ50" s="309">
        <f t="shared" si="17"/>
        <v>-5.0890366366386434E-2</v>
      </c>
      <c r="AP50"/>
    </row>
    <row r="51" spans="1:42">
      <c r="A51" s="307">
        <v>41729</v>
      </c>
      <c r="B51" s="315">
        <v>5.1100000000000003</v>
      </c>
      <c r="C51" s="306">
        <v>2.84</v>
      </c>
      <c r="D51" s="306">
        <v>81.900000000000006</v>
      </c>
      <c r="E51" s="314">
        <v>-6</v>
      </c>
      <c r="F51" s="314">
        <v>2.6643461538461501E-2</v>
      </c>
      <c r="G51" s="314">
        <v>-0.52386588850803495</v>
      </c>
      <c r="H51" s="306">
        <v>0</v>
      </c>
      <c r="I51" s="314"/>
      <c r="J51" s="309">
        <f t="shared" si="9"/>
        <v>6.1614195619999998</v>
      </c>
      <c r="K51" s="309">
        <f t="shared" si="10"/>
        <v>-1.0514195619999995</v>
      </c>
      <c r="L51" s="309">
        <f t="shared" si="15"/>
        <v>-7.5626099732664931E-3</v>
      </c>
      <c r="N51" s="315">
        <v>5.1100000000000003</v>
      </c>
      <c r="O51" s="306">
        <v>2.84</v>
      </c>
      <c r="P51" s="306">
        <v>81.900000000000006</v>
      </c>
      <c r="Q51" s="314">
        <v>-6</v>
      </c>
      <c r="R51" s="314">
        <v>2.6643461538461501E-2</v>
      </c>
      <c r="S51" s="314">
        <v>-0.52386588850803495</v>
      </c>
      <c r="T51" s="306">
        <v>0</v>
      </c>
      <c r="U51" s="314"/>
      <c r="V51" s="309">
        <f t="shared" si="11"/>
        <v>6.1614195619999998</v>
      </c>
      <c r="W51" s="309">
        <f t="shared" si="12"/>
        <v>-1.0514195619999995</v>
      </c>
      <c r="X51" s="309">
        <f t="shared" si="16"/>
        <v>-7.5626099732664931E-3</v>
      </c>
      <c r="Z51" s="315">
        <v>5.1100000000000003</v>
      </c>
      <c r="AA51" s="306">
        <v>2.84</v>
      </c>
      <c r="AB51" s="306">
        <v>81.900000000000006</v>
      </c>
      <c r="AC51" s="314">
        <v>-6</v>
      </c>
      <c r="AD51" s="314">
        <v>2.6643461538461501E-2</v>
      </c>
      <c r="AE51" s="314">
        <v>-0.52386588850803495</v>
      </c>
      <c r="AF51" s="306">
        <v>0</v>
      </c>
      <c r="AG51" s="314"/>
      <c r="AH51" s="309">
        <f t="shared" si="13"/>
        <v>6.1614195619999998</v>
      </c>
      <c r="AI51" s="309">
        <f t="shared" si="14"/>
        <v>-1.0514195619999995</v>
      </c>
      <c r="AJ51" s="309">
        <f t="shared" si="17"/>
        <v>-7.5626099732664931E-3</v>
      </c>
      <c r="AP51"/>
    </row>
    <row r="52" spans="1:42">
      <c r="A52" s="307">
        <v>41820</v>
      </c>
      <c r="B52" s="315">
        <v>4.41</v>
      </c>
      <c r="C52" s="306">
        <v>2.69</v>
      </c>
      <c r="D52" s="306">
        <v>82</v>
      </c>
      <c r="E52" s="314">
        <v>-6.2249999999999996</v>
      </c>
      <c r="F52" s="314">
        <v>1.84907692307692E-2</v>
      </c>
      <c r="G52" s="314">
        <v>-0.63686279517324296</v>
      </c>
      <c r="H52" s="306">
        <v>0</v>
      </c>
      <c r="I52" s="314"/>
      <c r="J52" s="309">
        <f t="shared" si="9"/>
        <v>6.0852175894999991</v>
      </c>
      <c r="K52" s="309">
        <f t="shared" si="10"/>
        <v>-1.675217589499999</v>
      </c>
      <c r="L52" s="309">
        <f t="shared" si="15"/>
        <v>-0.20862259676015982</v>
      </c>
      <c r="N52" s="315">
        <v>4.41</v>
      </c>
      <c r="O52" s="306">
        <v>2.69</v>
      </c>
      <c r="P52" s="306">
        <v>82</v>
      </c>
      <c r="Q52" s="314">
        <v>-6.2249999999999996</v>
      </c>
      <c r="R52" s="314">
        <v>1.84907692307692E-2</v>
      </c>
      <c r="S52" s="314">
        <v>-0.63686279517324296</v>
      </c>
      <c r="T52" s="306">
        <v>0</v>
      </c>
      <c r="U52" s="314"/>
      <c r="V52" s="309">
        <f t="shared" si="11"/>
        <v>6.0852175894999991</v>
      </c>
      <c r="W52" s="309">
        <f t="shared" si="12"/>
        <v>-1.675217589499999</v>
      </c>
      <c r="X52" s="309">
        <f t="shared" si="16"/>
        <v>-0.20862259676015982</v>
      </c>
      <c r="Z52" s="315">
        <v>4.41</v>
      </c>
      <c r="AA52" s="306">
        <v>2.69</v>
      </c>
      <c r="AB52" s="306">
        <v>82</v>
      </c>
      <c r="AC52" s="314">
        <v>-6.2249999999999996</v>
      </c>
      <c r="AD52" s="314">
        <v>1.84907692307692E-2</v>
      </c>
      <c r="AE52" s="314">
        <v>-0.63686279517324296</v>
      </c>
      <c r="AF52" s="306">
        <v>0</v>
      </c>
      <c r="AG52" s="314"/>
      <c r="AH52" s="309">
        <f t="shared" si="13"/>
        <v>6.0852175894999991</v>
      </c>
      <c r="AI52" s="309">
        <f t="shared" si="14"/>
        <v>-1.675217589499999</v>
      </c>
      <c r="AJ52" s="309">
        <f t="shared" si="17"/>
        <v>-0.20862259676015982</v>
      </c>
      <c r="AP52"/>
    </row>
    <row r="53" spans="1:42">
      <c r="A53" s="307">
        <v>41912</v>
      </c>
      <c r="B53" s="315">
        <v>3.72</v>
      </c>
      <c r="C53" s="306">
        <v>2.5299999999999998</v>
      </c>
      <c r="D53" s="306">
        <v>82.4</v>
      </c>
      <c r="E53" s="314">
        <v>-5.7</v>
      </c>
      <c r="F53" s="314">
        <v>2.09212307692308E-2</v>
      </c>
      <c r="G53" s="314">
        <v>-0.379302859623665</v>
      </c>
      <c r="H53" s="306">
        <v>0</v>
      </c>
      <c r="I53" s="314"/>
      <c r="J53" s="309">
        <f t="shared" si="9"/>
        <v>5.7561927839999996</v>
      </c>
      <c r="K53" s="309">
        <f t="shared" si="10"/>
        <v>-2.0361927839999994</v>
      </c>
      <c r="L53" s="309">
        <f t="shared" si="15"/>
        <v>-0.15695043705993955</v>
      </c>
      <c r="N53" s="315">
        <v>3.72</v>
      </c>
      <c r="O53" s="306">
        <v>2.5299999999999998</v>
      </c>
      <c r="P53" s="306">
        <v>82.4</v>
      </c>
      <c r="Q53" s="314">
        <v>-5.7</v>
      </c>
      <c r="R53" s="314">
        <v>2.09212307692308E-2</v>
      </c>
      <c r="S53" s="314">
        <v>-0.379302859623665</v>
      </c>
      <c r="T53" s="306">
        <v>0</v>
      </c>
      <c r="U53" s="314"/>
      <c r="V53" s="309">
        <f t="shared" si="11"/>
        <v>5.7561927839999996</v>
      </c>
      <c r="W53" s="309">
        <f t="shared" si="12"/>
        <v>-2.0361927839999994</v>
      </c>
      <c r="X53" s="309">
        <f t="shared" si="16"/>
        <v>-0.15695043705993955</v>
      </c>
      <c r="Z53" s="315">
        <v>3.72</v>
      </c>
      <c r="AA53" s="306">
        <v>2.5299999999999998</v>
      </c>
      <c r="AB53" s="306">
        <v>82.4</v>
      </c>
      <c r="AC53" s="314">
        <v>-5.7</v>
      </c>
      <c r="AD53" s="314">
        <v>2.09212307692308E-2</v>
      </c>
      <c r="AE53" s="314">
        <v>-0.379302859623665</v>
      </c>
      <c r="AF53" s="306">
        <v>0</v>
      </c>
      <c r="AG53" s="314"/>
      <c r="AH53" s="309">
        <f t="shared" si="13"/>
        <v>5.7561927839999996</v>
      </c>
      <c r="AI53" s="309">
        <f t="shared" si="14"/>
        <v>-2.0361927839999994</v>
      </c>
      <c r="AJ53" s="309">
        <f t="shared" si="17"/>
        <v>-0.15695043705993955</v>
      </c>
      <c r="AP53"/>
    </row>
    <row r="54" spans="1:42">
      <c r="A54" s="307">
        <v>42004</v>
      </c>
      <c r="B54" s="315">
        <v>3.54</v>
      </c>
      <c r="C54" s="306">
        <v>2.29</v>
      </c>
      <c r="D54" s="306">
        <v>84.7</v>
      </c>
      <c r="E54" s="314">
        <v>-5.625</v>
      </c>
      <c r="F54" s="314">
        <v>2.4350307692307699E-2</v>
      </c>
      <c r="G54" s="314">
        <v>-0.103831947763855</v>
      </c>
      <c r="H54" s="306">
        <v>0</v>
      </c>
      <c r="I54" s="314"/>
      <c r="J54" s="309">
        <f t="shared" si="9"/>
        <v>5.4560157794999995</v>
      </c>
      <c r="K54" s="309">
        <f t="shared" si="10"/>
        <v>-1.9160157794999995</v>
      </c>
      <c r="L54" s="309">
        <f t="shared" si="15"/>
        <v>-7.3926356081004257E-2</v>
      </c>
      <c r="N54" s="315">
        <v>3.54</v>
      </c>
      <c r="O54" s="306">
        <v>2.29</v>
      </c>
      <c r="P54" s="306">
        <v>84.7</v>
      </c>
      <c r="Q54" s="314">
        <v>-5.625</v>
      </c>
      <c r="R54" s="314">
        <v>2.4350307692307699E-2</v>
      </c>
      <c r="S54" s="314">
        <v>-0.103831947763855</v>
      </c>
      <c r="T54" s="306">
        <v>0</v>
      </c>
      <c r="U54" s="314"/>
      <c r="V54" s="309">
        <f t="shared" si="11"/>
        <v>5.4560157794999995</v>
      </c>
      <c r="W54" s="309">
        <f t="shared" si="12"/>
        <v>-1.9160157794999995</v>
      </c>
      <c r="X54" s="309">
        <f t="shared" si="16"/>
        <v>-7.3926356081004257E-2</v>
      </c>
      <c r="Z54" s="315">
        <v>3.54</v>
      </c>
      <c r="AA54" s="306">
        <v>2.29</v>
      </c>
      <c r="AB54" s="306">
        <v>84.7</v>
      </c>
      <c r="AC54" s="314">
        <v>-5.625</v>
      </c>
      <c r="AD54" s="314">
        <v>2.4350307692307699E-2</v>
      </c>
      <c r="AE54" s="314">
        <v>-0.103831947763855</v>
      </c>
      <c r="AF54" s="306">
        <v>0</v>
      </c>
      <c r="AG54" s="314"/>
      <c r="AH54" s="309">
        <f t="shared" si="13"/>
        <v>5.4560157794999995</v>
      </c>
      <c r="AI54" s="309">
        <f t="shared" si="14"/>
        <v>-1.9160157794999995</v>
      </c>
      <c r="AJ54" s="309">
        <f t="shared" si="17"/>
        <v>-7.3926356081004257E-2</v>
      </c>
      <c r="AP54"/>
    </row>
    <row r="55" spans="1:42">
      <c r="A55" s="307">
        <v>42094</v>
      </c>
      <c r="B55" s="315">
        <v>3.32</v>
      </c>
      <c r="C55" s="306">
        <v>1.87</v>
      </c>
      <c r="D55" s="306">
        <v>86.9</v>
      </c>
      <c r="E55" s="314">
        <v>-5.35</v>
      </c>
      <c r="F55" s="314">
        <v>3.8966538461538497E-2</v>
      </c>
      <c r="G55" s="314">
        <v>0.45715700614892302</v>
      </c>
      <c r="H55" s="306">
        <v>0</v>
      </c>
      <c r="I55" s="314"/>
      <c r="J55" s="309">
        <f t="shared" si="9"/>
        <v>4.9197702410000002</v>
      </c>
      <c r="K55" s="309">
        <f t="shared" si="10"/>
        <v>-1.5997702410000003</v>
      </c>
      <c r="L55" s="309">
        <f t="shared" si="15"/>
        <v>-8.3762028890887949E-2</v>
      </c>
      <c r="N55" s="315">
        <v>3.32</v>
      </c>
      <c r="O55" s="306">
        <v>1.87</v>
      </c>
      <c r="P55" s="306">
        <v>86.9</v>
      </c>
      <c r="Q55" s="314">
        <v>-5.35</v>
      </c>
      <c r="R55" s="314">
        <v>3.8966538461538497E-2</v>
      </c>
      <c r="S55" s="314">
        <v>0.45715700614892302</v>
      </c>
      <c r="T55" s="306">
        <v>0</v>
      </c>
      <c r="U55" s="314"/>
      <c r="V55" s="309">
        <f t="shared" si="11"/>
        <v>4.9197702410000002</v>
      </c>
      <c r="W55" s="309">
        <f t="shared" si="12"/>
        <v>-1.5997702410000003</v>
      </c>
      <c r="X55" s="309">
        <f t="shared" si="16"/>
        <v>-8.3762028890887949E-2</v>
      </c>
      <c r="Z55" s="315">
        <v>3.32</v>
      </c>
      <c r="AA55" s="306">
        <v>1.87</v>
      </c>
      <c r="AB55" s="306">
        <v>86.9</v>
      </c>
      <c r="AC55" s="314">
        <v>-5.35</v>
      </c>
      <c r="AD55" s="314">
        <v>3.8966538461538497E-2</v>
      </c>
      <c r="AE55" s="314">
        <v>0.45715700614892302</v>
      </c>
      <c r="AF55" s="306">
        <v>0</v>
      </c>
      <c r="AG55" s="314"/>
      <c r="AH55" s="309">
        <f t="shared" si="13"/>
        <v>4.9197702410000002</v>
      </c>
      <c r="AI55" s="309">
        <f t="shared" si="14"/>
        <v>-1.5997702410000003</v>
      </c>
      <c r="AJ55" s="309">
        <f t="shared" si="17"/>
        <v>-8.3762028890887949E-2</v>
      </c>
      <c r="AP55"/>
    </row>
    <row r="56" spans="1:42">
      <c r="A56" s="307">
        <v>42185</v>
      </c>
      <c r="B56" s="315">
        <v>3.17</v>
      </c>
      <c r="C56" s="306">
        <v>1.92</v>
      </c>
      <c r="D56" s="306">
        <v>84.8</v>
      </c>
      <c r="E56" s="314">
        <v>-4.875</v>
      </c>
      <c r="F56" s="314">
        <v>4.5242230769230798E-2</v>
      </c>
      <c r="G56" s="314">
        <v>1.02096781966343</v>
      </c>
      <c r="H56" s="306">
        <v>0</v>
      </c>
      <c r="I56" s="314"/>
      <c r="J56" s="309">
        <f t="shared" si="9"/>
        <v>4.8576889585000007</v>
      </c>
      <c r="K56" s="309">
        <f t="shared" si="10"/>
        <v>-1.6876889585000008</v>
      </c>
      <c r="L56" s="309">
        <f t="shared" si="15"/>
        <v>3.9116737575364657E-2</v>
      </c>
      <c r="N56" s="315">
        <v>3.17</v>
      </c>
      <c r="O56" s="306">
        <v>1.92</v>
      </c>
      <c r="P56" s="306">
        <v>84.8</v>
      </c>
      <c r="Q56" s="314">
        <v>-4.875</v>
      </c>
      <c r="R56" s="314">
        <v>4.5242230769230798E-2</v>
      </c>
      <c r="S56" s="314">
        <v>1.02096781966343</v>
      </c>
      <c r="T56" s="306">
        <v>0</v>
      </c>
      <c r="U56" s="314"/>
      <c r="V56" s="309">
        <f t="shared" si="11"/>
        <v>4.8576889585000007</v>
      </c>
      <c r="W56" s="309">
        <f t="shared" si="12"/>
        <v>-1.6876889585000008</v>
      </c>
      <c r="X56" s="309">
        <f t="shared" si="16"/>
        <v>3.9116737575364657E-2</v>
      </c>
      <c r="Z56" s="315">
        <v>3.17</v>
      </c>
      <c r="AA56" s="306">
        <v>1.92</v>
      </c>
      <c r="AB56" s="306">
        <v>84.8</v>
      </c>
      <c r="AC56" s="314">
        <v>-4.875</v>
      </c>
      <c r="AD56" s="314">
        <v>4.5242230769230798E-2</v>
      </c>
      <c r="AE56" s="314">
        <v>1.02096781966343</v>
      </c>
      <c r="AF56" s="306">
        <v>0</v>
      </c>
      <c r="AG56" s="314"/>
      <c r="AH56" s="309">
        <f t="shared" si="13"/>
        <v>4.8576889585000007</v>
      </c>
      <c r="AI56" s="309">
        <f t="shared" si="14"/>
        <v>-1.6876889585000008</v>
      </c>
      <c r="AJ56" s="309">
        <f t="shared" si="17"/>
        <v>3.9116737575364657E-2</v>
      </c>
      <c r="AP56"/>
    </row>
    <row r="57" spans="1:42">
      <c r="A57" s="307">
        <v>42277</v>
      </c>
      <c r="B57" s="315">
        <v>4.2300000000000004</v>
      </c>
      <c r="C57" s="306">
        <v>2.3199999999999998</v>
      </c>
      <c r="D57" s="306">
        <v>85</v>
      </c>
      <c r="E57" s="314">
        <v>-4.125</v>
      </c>
      <c r="F57" s="314">
        <v>6.3085692307692301E-2</v>
      </c>
      <c r="G57" s="314">
        <v>2.0512173583953701</v>
      </c>
      <c r="H57" s="306">
        <v>0</v>
      </c>
      <c r="I57" s="314"/>
      <c r="J57" s="309">
        <f t="shared" si="9"/>
        <v>5.0045662334999994</v>
      </c>
      <c r="K57" s="309">
        <f t="shared" si="10"/>
        <v>-0.77456623349999898</v>
      </c>
      <c r="L57" s="309">
        <f t="shared" si="15"/>
        <v>0.32913324031996183</v>
      </c>
      <c r="N57" s="315">
        <v>4.2300000000000004</v>
      </c>
      <c r="O57" s="306">
        <v>2.3199999999999998</v>
      </c>
      <c r="P57" s="306">
        <v>85</v>
      </c>
      <c r="Q57" s="314">
        <v>-4.125</v>
      </c>
      <c r="R57" s="314">
        <v>6.3085692307692301E-2</v>
      </c>
      <c r="S57" s="314">
        <v>2.0512173583953701</v>
      </c>
      <c r="T57" s="306">
        <v>0</v>
      </c>
      <c r="U57" s="314"/>
      <c r="V57" s="309">
        <f t="shared" si="11"/>
        <v>5.0045662334999994</v>
      </c>
      <c r="W57" s="309">
        <f t="shared" si="12"/>
        <v>-0.77456623349999898</v>
      </c>
      <c r="X57" s="309">
        <f t="shared" si="16"/>
        <v>0.32913324031996183</v>
      </c>
      <c r="Z57" s="315">
        <v>4.2300000000000004</v>
      </c>
      <c r="AA57" s="306">
        <v>2.3199999999999998</v>
      </c>
      <c r="AB57" s="306">
        <v>85</v>
      </c>
      <c r="AC57" s="314">
        <v>-4.125</v>
      </c>
      <c r="AD57" s="314">
        <v>6.3085692307692301E-2</v>
      </c>
      <c r="AE57" s="314">
        <v>2.0512173583953701</v>
      </c>
      <c r="AF57" s="306">
        <v>0</v>
      </c>
      <c r="AG57" s="314"/>
      <c r="AH57" s="309">
        <f t="shared" si="13"/>
        <v>5.0045662334999994</v>
      </c>
      <c r="AI57" s="309">
        <f t="shared" si="14"/>
        <v>-0.77456623349999898</v>
      </c>
      <c r="AJ57" s="309">
        <f t="shared" si="17"/>
        <v>0.32913324031996183</v>
      </c>
      <c r="AP57"/>
    </row>
    <row r="58" spans="1:42">
      <c r="A58" s="307">
        <v>42369</v>
      </c>
      <c r="B58" s="315">
        <v>3.93</v>
      </c>
      <c r="C58" s="306">
        <v>2.06</v>
      </c>
      <c r="D58" s="306">
        <v>84.3</v>
      </c>
      <c r="E58" s="314">
        <v>-3.625</v>
      </c>
      <c r="F58" s="314">
        <v>5.96612307692308E-2</v>
      </c>
      <c r="G58" s="314">
        <v>2.4368633969106699</v>
      </c>
      <c r="H58" s="306">
        <v>0</v>
      </c>
      <c r="I58" s="314"/>
      <c r="J58" s="309">
        <f t="shared" si="9"/>
        <v>4.6072687254999991</v>
      </c>
      <c r="K58" s="309">
        <f t="shared" si="10"/>
        <v>-0.67726872549999895</v>
      </c>
      <c r="L58" s="309">
        <f t="shared" si="15"/>
        <v>-6.0955645279072997E-2</v>
      </c>
      <c r="N58" s="315">
        <v>3.93</v>
      </c>
      <c r="O58" s="306">
        <v>2.06</v>
      </c>
      <c r="P58" s="306">
        <v>84.3</v>
      </c>
      <c r="Q58" s="314">
        <v>-3.625</v>
      </c>
      <c r="R58" s="314">
        <v>5.96612307692308E-2</v>
      </c>
      <c r="S58" s="314">
        <v>2.4368633969106699</v>
      </c>
      <c r="T58" s="306">
        <v>0</v>
      </c>
      <c r="U58" s="314"/>
      <c r="V58" s="309">
        <f t="shared" si="11"/>
        <v>4.6072687254999991</v>
      </c>
      <c r="W58" s="309">
        <f t="shared" si="12"/>
        <v>-0.67726872549999895</v>
      </c>
      <c r="X58" s="309">
        <f t="shared" si="16"/>
        <v>-6.0955645279072997E-2</v>
      </c>
      <c r="Z58" s="315">
        <v>3.93</v>
      </c>
      <c r="AA58" s="306">
        <v>2.06</v>
      </c>
      <c r="AB58" s="306">
        <v>84.3</v>
      </c>
      <c r="AC58" s="314">
        <v>-3.625</v>
      </c>
      <c r="AD58" s="314">
        <v>5.96612307692308E-2</v>
      </c>
      <c r="AE58" s="314">
        <v>2.4368633969106699</v>
      </c>
      <c r="AF58" s="306">
        <v>0</v>
      </c>
      <c r="AG58" s="314"/>
      <c r="AH58" s="309">
        <f t="shared" si="13"/>
        <v>4.6072687254999991</v>
      </c>
      <c r="AI58" s="309">
        <f t="shared" si="14"/>
        <v>-0.67726872549999895</v>
      </c>
      <c r="AJ58" s="309">
        <f t="shared" si="17"/>
        <v>-6.0955645279072997E-2</v>
      </c>
      <c r="AP58"/>
    </row>
    <row r="59" spans="1:42">
      <c r="A59" s="307">
        <v>42460</v>
      </c>
      <c r="B59" s="315">
        <v>3.84</v>
      </c>
      <c r="C59" s="306">
        <v>2.08</v>
      </c>
      <c r="D59" s="306">
        <v>82.9</v>
      </c>
      <c r="E59" s="314">
        <v>-3.1</v>
      </c>
      <c r="F59" s="314">
        <v>6.9239384615384605E-2</v>
      </c>
      <c r="G59" s="314">
        <v>2.8610030855744899</v>
      </c>
      <c r="H59" s="306">
        <v>0</v>
      </c>
      <c r="I59" s="314"/>
      <c r="J59" s="309">
        <f t="shared" si="9"/>
        <v>4.486989704</v>
      </c>
      <c r="K59" s="309">
        <f t="shared" si="10"/>
        <v>-0.64698970400000011</v>
      </c>
      <c r="L59" s="309">
        <f t="shared" si="15"/>
        <v>9.0061055847216659E-2</v>
      </c>
      <c r="N59" s="315">
        <v>3.84</v>
      </c>
      <c r="O59" s="306">
        <v>2.08</v>
      </c>
      <c r="P59" s="306">
        <v>82.9</v>
      </c>
      <c r="Q59" s="314">
        <v>-3.1</v>
      </c>
      <c r="R59" s="314">
        <v>6.9239384615384605E-2</v>
      </c>
      <c r="S59" s="314">
        <v>2.8610030855744899</v>
      </c>
      <c r="T59" s="306">
        <v>0</v>
      </c>
      <c r="U59" s="314"/>
      <c r="V59" s="309">
        <f t="shared" si="11"/>
        <v>4.486989704</v>
      </c>
      <c r="W59" s="309">
        <f t="shared" si="12"/>
        <v>-0.64698970400000011</v>
      </c>
      <c r="X59" s="309">
        <f t="shared" si="16"/>
        <v>9.0061055847216659E-2</v>
      </c>
      <c r="Z59" s="315">
        <v>3.84</v>
      </c>
      <c r="AA59" s="306">
        <v>2.08</v>
      </c>
      <c r="AB59" s="306">
        <v>82.9</v>
      </c>
      <c r="AC59" s="314">
        <v>-3.1</v>
      </c>
      <c r="AD59" s="314">
        <v>6.9239384615384605E-2</v>
      </c>
      <c r="AE59" s="314">
        <v>2.8610030855744899</v>
      </c>
      <c r="AF59" s="306">
        <v>0</v>
      </c>
      <c r="AG59" s="314"/>
      <c r="AH59" s="309">
        <f t="shared" si="13"/>
        <v>4.486989704</v>
      </c>
      <c r="AI59" s="309">
        <f t="shared" si="14"/>
        <v>-0.64698970400000011</v>
      </c>
      <c r="AJ59" s="309">
        <f t="shared" si="17"/>
        <v>9.0061055847216659E-2</v>
      </c>
      <c r="AP59"/>
    </row>
    <row r="60" spans="1:42">
      <c r="A60" s="307">
        <v>42551</v>
      </c>
      <c r="B60" s="315">
        <v>3.62</v>
      </c>
      <c r="C60" s="306">
        <v>1.8</v>
      </c>
      <c r="D60" s="306">
        <v>81.7</v>
      </c>
      <c r="E60" s="314">
        <v>-1.7</v>
      </c>
      <c r="F60" s="314">
        <v>6.08181538461538E-2</v>
      </c>
      <c r="G60" s="314">
        <v>3.1666560657137999</v>
      </c>
      <c r="H60" s="306">
        <v>0</v>
      </c>
      <c r="I60" s="314"/>
      <c r="J60" s="309">
        <f t="shared" si="9"/>
        <v>3.7948346600000002</v>
      </c>
      <c r="K60" s="309">
        <f t="shared" si="10"/>
        <v>-0.17483466000000014</v>
      </c>
      <c r="L60" s="309">
        <f t="shared" si="15"/>
        <v>-0.11895683839707674</v>
      </c>
      <c r="N60" s="315">
        <v>3.62</v>
      </c>
      <c r="O60" s="306">
        <v>1.8</v>
      </c>
      <c r="P60" s="306">
        <v>81.7</v>
      </c>
      <c r="Q60" s="314">
        <v>-1.7</v>
      </c>
      <c r="R60" s="314">
        <v>6.08181538461538E-2</v>
      </c>
      <c r="S60" s="314">
        <v>3.1666560657137999</v>
      </c>
      <c r="T60" s="306">
        <v>0</v>
      </c>
      <c r="U60" s="314"/>
      <c r="V60" s="309">
        <f t="shared" si="11"/>
        <v>3.7948346600000002</v>
      </c>
      <c r="W60" s="309">
        <f t="shared" si="12"/>
        <v>-0.17483466000000014</v>
      </c>
      <c r="X60" s="309">
        <f t="shared" si="16"/>
        <v>-0.11895683839707674</v>
      </c>
      <c r="Z60" s="315">
        <v>3.62</v>
      </c>
      <c r="AA60" s="306">
        <v>1.8</v>
      </c>
      <c r="AB60" s="306">
        <v>81.7</v>
      </c>
      <c r="AC60" s="314">
        <v>-1.7</v>
      </c>
      <c r="AD60" s="314">
        <v>6.08181538461538E-2</v>
      </c>
      <c r="AE60" s="314">
        <v>3.1666560657137999</v>
      </c>
      <c r="AF60" s="306">
        <v>0</v>
      </c>
      <c r="AG60" s="314"/>
      <c r="AH60" s="309">
        <f t="shared" si="13"/>
        <v>3.7948346600000002</v>
      </c>
      <c r="AI60" s="309">
        <f t="shared" si="14"/>
        <v>-0.17483466000000014</v>
      </c>
      <c r="AJ60" s="309">
        <f t="shared" si="17"/>
        <v>-0.11895683839707674</v>
      </c>
      <c r="AP60"/>
    </row>
    <row r="61" spans="1:42">
      <c r="A61" s="307">
        <v>42643</v>
      </c>
      <c r="B61" s="315">
        <v>3.75</v>
      </c>
      <c r="C61" s="306">
        <v>1.49</v>
      </c>
      <c r="D61" s="306">
        <v>81.599999999999994</v>
      </c>
      <c r="E61" s="314">
        <v>-1.2749999999999999</v>
      </c>
      <c r="F61" s="314">
        <v>5.6249571428571399E-2</v>
      </c>
      <c r="G61" s="314">
        <v>3.0717329545454599</v>
      </c>
      <c r="H61" s="306">
        <v>0</v>
      </c>
      <c r="I61" s="314"/>
      <c r="J61" s="309">
        <f t="shared" si="9"/>
        <v>3.3614015045000003</v>
      </c>
      <c r="K61" s="309">
        <f t="shared" si="10"/>
        <v>0.3885984954999997</v>
      </c>
      <c r="L61" s="309">
        <f t="shared" si="15"/>
        <v>-0.1463804311797251</v>
      </c>
      <c r="N61" s="315">
        <v>3.75</v>
      </c>
      <c r="O61" s="306">
        <v>1.49</v>
      </c>
      <c r="P61" s="306">
        <v>81.599999999999994</v>
      </c>
      <c r="Q61" s="314">
        <v>-1.2749999999999999</v>
      </c>
      <c r="R61" s="314">
        <v>5.6249571428571399E-2</v>
      </c>
      <c r="S61" s="314">
        <v>3.0717329545454599</v>
      </c>
      <c r="T61" s="306">
        <v>0</v>
      </c>
      <c r="U61" s="314"/>
      <c r="V61" s="309">
        <f t="shared" si="11"/>
        <v>3.3614015045000003</v>
      </c>
      <c r="W61" s="309">
        <f t="shared" si="12"/>
        <v>0.3885984954999997</v>
      </c>
      <c r="X61" s="309">
        <f t="shared" si="16"/>
        <v>-0.1463804311797251</v>
      </c>
      <c r="Z61" s="315">
        <v>3.75</v>
      </c>
      <c r="AA61" s="306">
        <v>1.49</v>
      </c>
      <c r="AB61" s="306">
        <v>81.599999999999994</v>
      </c>
      <c r="AC61" s="314">
        <v>-1.2749999999999999</v>
      </c>
      <c r="AD61" s="314">
        <v>5.6249571428571399E-2</v>
      </c>
      <c r="AE61" s="314">
        <v>3.0717329545454599</v>
      </c>
      <c r="AF61" s="306">
        <v>0</v>
      </c>
      <c r="AG61" s="314"/>
      <c r="AH61" s="309">
        <f t="shared" si="13"/>
        <v>3.3614015045000003</v>
      </c>
      <c r="AI61" s="309">
        <f t="shared" si="14"/>
        <v>0.3885984954999997</v>
      </c>
      <c r="AJ61" s="309">
        <f t="shared" si="17"/>
        <v>-0.1463804311797251</v>
      </c>
      <c r="AP61"/>
    </row>
    <row r="62" spans="1:42">
      <c r="A62" s="307">
        <v>42735</v>
      </c>
      <c r="B62" s="315">
        <v>3.07</v>
      </c>
      <c r="C62" s="306">
        <v>1.76</v>
      </c>
      <c r="D62" s="306">
        <v>80.8</v>
      </c>
      <c r="E62" s="314">
        <v>-1.2749999999999999</v>
      </c>
      <c r="F62" s="314">
        <v>5.8695076923076898E-2</v>
      </c>
      <c r="G62" s="314">
        <v>3.4836344943958402</v>
      </c>
      <c r="H62" s="306">
        <v>0</v>
      </c>
      <c r="I62" s="314"/>
      <c r="J62" s="309">
        <f t="shared" si="9"/>
        <v>3.6385263904999996</v>
      </c>
      <c r="K62" s="309">
        <f t="shared" si="10"/>
        <v>-0.56852639049999976</v>
      </c>
      <c r="L62" s="309">
        <f t="shared" si="15"/>
        <v>5.7318306759888242E-2</v>
      </c>
      <c r="N62" s="315">
        <v>3.07</v>
      </c>
      <c r="O62" s="306">
        <v>1.76</v>
      </c>
      <c r="P62" s="306">
        <v>80.8</v>
      </c>
      <c r="Q62" s="314">
        <v>-1.2749999999999999</v>
      </c>
      <c r="R62" s="314">
        <v>5.8695076923076898E-2</v>
      </c>
      <c r="S62" s="314">
        <v>3.4836344943958402</v>
      </c>
      <c r="T62" s="306">
        <v>0</v>
      </c>
      <c r="U62" s="314"/>
      <c r="V62" s="309">
        <f t="shared" si="11"/>
        <v>3.6385263904999996</v>
      </c>
      <c r="W62" s="309">
        <f t="shared" si="12"/>
        <v>-0.56852639049999976</v>
      </c>
      <c r="X62" s="309">
        <f t="shared" si="16"/>
        <v>5.7318306759888242E-2</v>
      </c>
      <c r="Z62" s="315">
        <v>3.07</v>
      </c>
      <c r="AA62" s="306">
        <v>1.76</v>
      </c>
      <c r="AB62" s="306">
        <v>80.8</v>
      </c>
      <c r="AC62" s="314">
        <v>-1.2749999999999999</v>
      </c>
      <c r="AD62" s="314">
        <v>5.8695076923076898E-2</v>
      </c>
      <c r="AE62" s="314">
        <v>3.4836344943958402</v>
      </c>
      <c r="AF62" s="306">
        <v>0</v>
      </c>
      <c r="AG62" s="314"/>
      <c r="AH62" s="309">
        <f t="shared" si="13"/>
        <v>3.6385263904999996</v>
      </c>
      <c r="AI62" s="309">
        <f t="shared" si="14"/>
        <v>-0.56852639049999976</v>
      </c>
      <c r="AJ62" s="309">
        <f t="shared" si="17"/>
        <v>5.7318306759888242E-2</v>
      </c>
      <c r="AP62"/>
    </row>
    <row r="63" spans="1:42">
      <c r="A63" s="307">
        <v>42825</v>
      </c>
      <c r="B63" s="315">
        <v>2.8</v>
      </c>
      <c r="C63" s="306">
        <v>2.4300000000000002</v>
      </c>
      <c r="D63" s="306">
        <v>83.3</v>
      </c>
      <c r="E63" s="314">
        <v>-0.52500000000000002</v>
      </c>
      <c r="F63" s="314">
        <v>5.7224846153846202E-2</v>
      </c>
      <c r="G63" s="314">
        <v>3.4230892115446201</v>
      </c>
      <c r="H63" s="306">
        <v>0</v>
      </c>
      <c r="I63" s="314"/>
      <c r="J63" s="309">
        <f t="shared" si="9"/>
        <v>4.0038018415000014</v>
      </c>
      <c r="K63" s="309">
        <f t="shared" si="10"/>
        <v>-1.2038018415000016</v>
      </c>
      <c r="L63" s="309">
        <f t="shared" si="15"/>
        <v>0.336026887458447</v>
      </c>
      <c r="N63" s="315">
        <v>2.8</v>
      </c>
      <c r="O63" s="306">
        <v>2.4300000000000002</v>
      </c>
      <c r="P63" s="306">
        <v>83.3</v>
      </c>
      <c r="Q63" s="314">
        <v>-0.52500000000000002</v>
      </c>
      <c r="R63" s="314">
        <v>5.7224846153846202E-2</v>
      </c>
      <c r="S63" s="314">
        <v>3.4230892115446201</v>
      </c>
      <c r="T63" s="306">
        <v>0</v>
      </c>
      <c r="U63" s="314"/>
      <c r="V63" s="309">
        <f t="shared" si="11"/>
        <v>4.0038018415000014</v>
      </c>
      <c r="W63" s="309">
        <f t="shared" si="12"/>
        <v>-1.2038018415000016</v>
      </c>
      <c r="X63" s="309">
        <f t="shared" si="16"/>
        <v>0.336026887458447</v>
      </c>
      <c r="Z63" s="315">
        <v>2.8</v>
      </c>
      <c r="AA63" s="306">
        <v>2.4300000000000002</v>
      </c>
      <c r="AB63" s="306">
        <v>83.3</v>
      </c>
      <c r="AC63" s="314">
        <v>-0.52500000000000002</v>
      </c>
      <c r="AD63" s="314">
        <v>5.7224846153846202E-2</v>
      </c>
      <c r="AE63" s="314">
        <v>3.4230892115446201</v>
      </c>
      <c r="AF63" s="306">
        <v>0</v>
      </c>
      <c r="AG63" s="314"/>
      <c r="AH63" s="309">
        <f t="shared" si="13"/>
        <v>4.0038018415000014</v>
      </c>
      <c r="AI63" s="309">
        <f t="shared" si="14"/>
        <v>-1.2038018415000016</v>
      </c>
      <c r="AJ63" s="309">
        <f t="shared" si="17"/>
        <v>0.336026887458447</v>
      </c>
      <c r="AP63"/>
    </row>
    <row r="64" spans="1:42">
      <c r="A64" s="307">
        <v>42916</v>
      </c>
      <c r="B64" s="315">
        <v>2.98</v>
      </c>
      <c r="C64" s="306">
        <v>2.29</v>
      </c>
      <c r="D64" s="306">
        <v>78.7</v>
      </c>
      <c r="E64" s="314">
        <v>-0.57499999999999996</v>
      </c>
      <c r="F64" s="314">
        <v>4.4886000000000002E-2</v>
      </c>
      <c r="G64" s="314">
        <v>3.50301220736671</v>
      </c>
      <c r="H64" s="306">
        <v>0</v>
      </c>
      <c r="I64" s="314"/>
      <c r="J64" s="309">
        <f t="shared" si="9"/>
        <v>3.9709377444999996</v>
      </c>
      <c r="K64" s="309">
        <f t="shared" si="10"/>
        <v>-0.99093774449999961</v>
      </c>
      <c r="L64" s="309">
        <f t="shared" si="15"/>
        <v>-6.3659790763512705E-2</v>
      </c>
      <c r="N64" s="315">
        <v>2.98</v>
      </c>
      <c r="O64" s="306">
        <v>2.29</v>
      </c>
      <c r="P64" s="306">
        <v>78.7</v>
      </c>
      <c r="Q64" s="314">
        <v>-0.57499999999999996</v>
      </c>
      <c r="R64" s="314">
        <v>4.4886000000000002E-2</v>
      </c>
      <c r="S64" s="314">
        <v>3.50301220736671</v>
      </c>
      <c r="T64" s="306">
        <v>0</v>
      </c>
      <c r="U64" s="314"/>
      <c r="V64" s="309">
        <f t="shared" si="11"/>
        <v>3.9709377444999996</v>
      </c>
      <c r="W64" s="309">
        <f t="shared" si="12"/>
        <v>-0.99093774449999961</v>
      </c>
      <c r="X64" s="309">
        <f t="shared" si="16"/>
        <v>-6.3659790763512705E-2</v>
      </c>
      <c r="Z64" s="315">
        <v>2.98</v>
      </c>
      <c r="AA64" s="306">
        <v>2.29</v>
      </c>
      <c r="AB64" s="306">
        <v>78.7</v>
      </c>
      <c r="AC64" s="314">
        <v>-0.57499999999999996</v>
      </c>
      <c r="AD64" s="314">
        <v>4.4886000000000002E-2</v>
      </c>
      <c r="AE64" s="314">
        <v>3.50301220736671</v>
      </c>
      <c r="AF64" s="306">
        <v>0</v>
      </c>
      <c r="AG64" s="314"/>
      <c r="AH64" s="309">
        <f t="shared" si="13"/>
        <v>3.9709377444999996</v>
      </c>
      <c r="AI64" s="309">
        <f t="shared" si="14"/>
        <v>-0.99093774449999961</v>
      </c>
      <c r="AJ64" s="309">
        <f t="shared" si="17"/>
        <v>-6.3659790763512705E-2</v>
      </c>
      <c r="AP64"/>
    </row>
    <row r="65" spans="1:42">
      <c r="A65" s="307">
        <v>43008</v>
      </c>
      <c r="B65" s="315">
        <v>2.78</v>
      </c>
      <c r="C65" s="306">
        <v>2.31</v>
      </c>
      <c r="D65" s="306">
        <v>78.8</v>
      </c>
      <c r="E65" s="314">
        <v>-0.47499999999999998</v>
      </c>
      <c r="F65" s="314">
        <v>3.8931153846153803E-2</v>
      </c>
      <c r="G65" s="314">
        <v>3.50287290528679</v>
      </c>
      <c r="H65" s="306">
        <v>0</v>
      </c>
      <c r="I65" s="314"/>
      <c r="J65" s="309">
        <f t="shared" si="9"/>
        <v>3.9567902205000007</v>
      </c>
      <c r="K65" s="309">
        <f t="shared" si="10"/>
        <v>-1.1767902205000009</v>
      </c>
      <c r="L65" s="309">
        <f t="shared" si="15"/>
        <v>1.1021292815082635E-2</v>
      </c>
      <c r="N65" s="315">
        <v>2.78</v>
      </c>
      <c r="O65" s="306">
        <v>2.31</v>
      </c>
      <c r="P65" s="306">
        <v>78.8</v>
      </c>
      <c r="Q65" s="314">
        <v>-0.47499999999999998</v>
      </c>
      <c r="R65" s="314">
        <v>3.8931153846153803E-2</v>
      </c>
      <c r="S65" s="314">
        <v>3.50287290528679</v>
      </c>
      <c r="T65" s="306">
        <v>0</v>
      </c>
      <c r="U65" s="314"/>
      <c r="V65" s="309">
        <f t="shared" si="11"/>
        <v>3.9567902205000007</v>
      </c>
      <c r="W65" s="309">
        <f t="shared" si="12"/>
        <v>-1.1767902205000009</v>
      </c>
      <c r="X65" s="309">
        <f t="shared" si="16"/>
        <v>1.1021292815082635E-2</v>
      </c>
      <c r="Z65" s="315">
        <v>2.78</v>
      </c>
      <c r="AA65" s="306">
        <v>2.31</v>
      </c>
      <c r="AB65" s="306">
        <v>78.8</v>
      </c>
      <c r="AC65" s="314">
        <v>-0.47499999999999998</v>
      </c>
      <c r="AD65" s="314">
        <v>3.8931153846153803E-2</v>
      </c>
      <c r="AE65" s="314">
        <v>3.50287290528679</v>
      </c>
      <c r="AF65" s="306">
        <v>0</v>
      </c>
      <c r="AG65" s="314"/>
      <c r="AH65" s="309">
        <f t="shared" si="13"/>
        <v>3.9567902205000007</v>
      </c>
      <c r="AI65" s="309">
        <f t="shared" si="14"/>
        <v>-1.1767902205000009</v>
      </c>
      <c r="AJ65" s="309">
        <f t="shared" si="17"/>
        <v>1.1021292815082635E-2</v>
      </c>
      <c r="AP65"/>
    </row>
    <row r="66" spans="1:42">
      <c r="A66" s="307">
        <v>43100</v>
      </c>
      <c r="B66" s="315">
        <v>2.66</v>
      </c>
      <c r="C66" s="306">
        <v>2.36</v>
      </c>
      <c r="D66" s="306">
        <v>77.8</v>
      </c>
      <c r="E66" s="314">
        <v>0.52500000000000002</v>
      </c>
      <c r="F66" s="314">
        <v>3.3940538461538501E-2</v>
      </c>
      <c r="G66" s="314">
        <v>3.13915969435579</v>
      </c>
      <c r="H66" s="306">
        <v>0</v>
      </c>
      <c r="I66" s="314"/>
      <c r="J66" s="309">
        <f t="shared" si="9"/>
        <v>3.7076645104999999</v>
      </c>
      <c r="K66" s="309">
        <f t="shared" si="10"/>
        <v>-1.0476645104999998</v>
      </c>
      <c r="L66" s="309">
        <f t="shared" si="15"/>
        <v>-5.0007267487331093E-2</v>
      </c>
      <c r="N66" s="315">
        <v>2.66</v>
      </c>
      <c r="O66" s="306">
        <v>2.36</v>
      </c>
      <c r="P66" s="306">
        <v>77.8</v>
      </c>
      <c r="Q66" s="314">
        <v>0.52500000000000002</v>
      </c>
      <c r="R66" s="314">
        <v>3.3940538461538501E-2</v>
      </c>
      <c r="S66" s="314">
        <v>3.13915969435579</v>
      </c>
      <c r="T66" s="306">
        <v>0</v>
      </c>
      <c r="U66" s="314"/>
      <c r="V66" s="309">
        <f t="shared" si="11"/>
        <v>3.7076645104999999</v>
      </c>
      <c r="W66" s="309">
        <f t="shared" si="12"/>
        <v>-1.0476645104999998</v>
      </c>
      <c r="X66" s="309">
        <f t="shared" si="16"/>
        <v>-5.0007267487331093E-2</v>
      </c>
      <c r="Z66" s="315">
        <v>2.66</v>
      </c>
      <c r="AA66" s="306">
        <v>2.36</v>
      </c>
      <c r="AB66" s="306">
        <v>77.8</v>
      </c>
      <c r="AC66" s="314">
        <v>0.52500000000000002</v>
      </c>
      <c r="AD66" s="314">
        <v>3.3940538461538501E-2</v>
      </c>
      <c r="AE66" s="314">
        <v>3.13915969435579</v>
      </c>
      <c r="AF66" s="306">
        <v>0</v>
      </c>
      <c r="AG66" s="314"/>
      <c r="AH66" s="309">
        <f t="shared" si="13"/>
        <v>3.7076645104999999</v>
      </c>
      <c r="AI66" s="309">
        <f t="shared" si="14"/>
        <v>-1.0476645104999998</v>
      </c>
      <c r="AJ66" s="309">
        <f t="shared" si="17"/>
        <v>-5.0007267487331093E-2</v>
      </c>
      <c r="AP66"/>
    </row>
    <row r="67" spans="1:42">
      <c r="A67" s="307">
        <v>43190</v>
      </c>
      <c r="B67" s="315">
        <v>2.35</v>
      </c>
      <c r="C67" s="306">
        <v>2.58</v>
      </c>
      <c r="D67" s="306">
        <v>76.599999999999994</v>
      </c>
      <c r="E67" s="314">
        <v>0.85</v>
      </c>
      <c r="F67" s="314">
        <v>3.3842076923076898E-2</v>
      </c>
      <c r="G67" s="314">
        <v>2.9620365046810502</v>
      </c>
      <c r="H67" s="306">
        <v>0</v>
      </c>
      <c r="I67" s="314"/>
      <c r="J67" s="309">
        <f t="shared" ref="J67:J75" si="18">$C$80+$B$83*C67+$B$84*D67+$B$85*E67+$B$86*H67</f>
        <v>3.8409647689999997</v>
      </c>
      <c r="K67" s="309">
        <f t="shared" ref="K67:K75" si="19">B67-J67</f>
        <v>-1.4909647689999996</v>
      </c>
      <c r="L67" s="309">
        <f t="shared" si="15"/>
        <v>3.2194551432441494E-2</v>
      </c>
      <c r="N67" s="315">
        <v>2.35</v>
      </c>
      <c r="O67" s="306">
        <v>2.58</v>
      </c>
      <c r="P67" s="306">
        <v>76.599999999999994</v>
      </c>
      <c r="Q67" s="314">
        <v>0.85</v>
      </c>
      <c r="R67" s="314">
        <v>3.3842076923076898E-2</v>
      </c>
      <c r="S67" s="314">
        <v>2.9620365046810502</v>
      </c>
      <c r="T67" s="306">
        <v>0</v>
      </c>
      <c r="U67" s="314"/>
      <c r="V67" s="309">
        <f t="shared" ref="V67:V75" si="20">$C$80+$B$83*O67+$B$84*P67+$B$85*Q67+$B$86*T67</f>
        <v>3.8409647689999997</v>
      </c>
      <c r="W67" s="309">
        <f t="shared" ref="W67:W75" si="21">N67-V67</f>
        <v>-1.4909647689999996</v>
      </c>
      <c r="X67" s="309">
        <f t="shared" si="16"/>
        <v>3.2194551432441494E-2</v>
      </c>
      <c r="Z67" s="315">
        <v>2.35</v>
      </c>
      <c r="AA67" s="306">
        <v>2.58</v>
      </c>
      <c r="AB67" s="306">
        <v>76.599999999999994</v>
      </c>
      <c r="AC67" s="314">
        <v>0.85</v>
      </c>
      <c r="AD67" s="314">
        <v>3.3842076923076898E-2</v>
      </c>
      <c r="AE67" s="314">
        <v>2.9620365046810502</v>
      </c>
      <c r="AF67" s="306">
        <v>0</v>
      </c>
      <c r="AG67" s="314"/>
      <c r="AH67" s="309">
        <f t="shared" ref="AH67:AH75" si="22">$C$80+$B$83*AA67+$B$84*AB67+$B$85*AC67+$B$86*AF67</f>
        <v>3.8409647689999997</v>
      </c>
      <c r="AI67" s="309">
        <f t="shared" ref="AI67:AI75" si="23">Z67-AH67</f>
        <v>-1.4909647689999996</v>
      </c>
      <c r="AJ67" s="309">
        <f t="shared" si="17"/>
        <v>3.2194551432441494E-2</v>
      </c>
      <c r="AP67"/>
    </row>
    <row r="68" spans="1:42">
      <c r="A68" s="307">
        <v>43281</v>
      </c>
      <c r="B68" s="315">
        <v>2.12</v>
      </c>
      <c r="C68" s="306">
        <v>2.87</v>
      </c>
      <c r="D68" s="306">
        <v>76.5</v>
      </c>
      <c r="E68" s="314">
        <v>1.125</v>
      </c>
      <c r="F68" s="314">
        <v>4.59947692307692E-2</v>
      </c>
      <c r="G68" s="314">
        <v>2.9160045185624699</v>
      </c>
      <c r="H68" s="306">
        <v>0</v>
      </c>
      <c r="I68" s="314"/>
      <c r="J68" s="309">
        <f t="shared" si="18"/>
        <v>4.0371736984999993</v>
      </c>
      <c r="K68" s="309">
        <f t="shared" si="19"/>
        <v>-1.9171736984999992</v>
      </c>
      <c r="L68" s="309">
        <f t="shared" ref="L68:L75" si="24">$B$89+$B$90*K67+$B$91*(C68-C67)+$B$92*(D68-D67)+$B$93*(E68-E67)+$B$94*(H68-H67)+$B$95*F68+$B$96*G68</f>
        <v>0.19779012860002029</v>
      </c>
      <c r="N68" s="315">
        <v>2.12</v>
      </c>
      <c r="O68" s="306">
        <v>2.87</v>
      </c>
      <c r="P68" s="306">
        <v>76.5</v>
      </c>
      <c r="Q68" s="314">
        <v>1.125</v>
      </c>
      <c r="R68" s="314">
        <v>4.59947692307692E-2</v>
      </c>
      <c r="S68" s="314">
        <v>2.9160045185624699</v>
      </c>
      <c r="T68" s="306">
        <v>0</v>
      </c>
      <c r="U68" s="314"/>
      <c r="V68" s="309">
        <f t="shared" si="20"/>
        <v>4.0371736984999993</v>
      </c>
      <c r="W68" s="309">
        <f t="shared" si="21"/>
        <v>-1.9171736984999992</v>
      </c>
      <c r="X68" s="309">
        <f t="shared" ref="X68:X75" si="25">$B$89+$B$90*W67+$B$91*(O68-O67)+$B$92*(P68-P67)+$B$93*(Q68-Q67)+$B$94*(T68-T67)+$B$95*R68+$B$96*S68</f>
        <v>0.19779012860002029</v>
      </c>
      <c r="Z68" s="315">
        <v>2.12</v>
      </c>
      <c r="AA68" s="306">
        <v>2.87</v>
      </c>
      <c r="AB68" s="306">
        <v>76.5</v>
      </c>
      <c r="AC68" s="314">
        <v>1.125</v>
      </c>
      <c r="AD68" s="314">
        <v>4.59947692307692E-2</v>
      </c>
      <c r="AE68" s="314">
        <v>2.9160045185624699</v>
      </c>
      <c r="AF68" s="306">
        <v>0</v>
      </c>
      <c r="AG68" s="314"/>
      <c r="AH68" s="309">
        <f t="shared" si="22"/>
        <v>4.0371736984999993</v>
      </c>
      <c r="AI68" s="309">
        <f t="shared" si="23"/>
        <v>-1.9171736984999992</v>
      </c>
      <c r="AJ68" s="309">
        <f t="shared" ref="AJ68:AJ75" si="26">$B$89+$B$90*AI67+$B$91*(AA68-AA67)+$B$92*(AB68-AB67)+$B$93*(AC68-AC67)+$B$94*(AF68-AF67)+$B$95*AD68+$B$96*AE68</f>
        <v>0.19779012860002029</v>
      </c>
      <c r="AP68"/>
    </row>
    <row r="69" spans="1:42">
      <c r="A69" s="307">
        <v>43373</v>
      </c>
      <c r="B69" s="315">
        <v>2.2599999999999998</v>
      </c>
      <c r="C69" s="306">
        <v>2.89</v>
      </c>
      <c r="D69" s="306">
        <v>74.900000000000006</v>
      </c>
      <c r="E69" s="314">
        <v>1.25</v>
      </c>
      <c r="F69" s="314">
        <v>4.5364076923076903E-2</v>
      </c>
      <c r="G69" s="314">
        <v>2.7670390743670801</v>
      </c>
      <c r="H69" s="306">
        <v>0</v>
      </c>
      <c r="I69" s="314"/>
      <c r="J69" s="309">
        <f t="shared" si="18"/>
        <v>4.0473165769999992</v>
      </c>
      <c r="K69" s="309">
        <f t="shared" si="19"/>
        <v>-1.7873165769999995</v>
      </c>
      <c r="L69" s="309">
        <f t="shared" si="24"/>
        <v>0.11356011928057275</v>
      </c>
      <c r="N69" s="315">
        <v>2.2599999999999998</v>
      </c>
      <c r="O69" s="306">
        <v>2.89</v>
      </c>
      <c r="P69" s="306">
        <v>74.900000000000006</v>
      </c>
      <c r="Q69" s="314">
        <v>1.25</v>
      </c>
      <c r="R69" s="314">
        <v>4.5364076923076903E-2</v>
      </c>
      <c r="S69" s="314">
        <v>2.7670390743670801</v>
      </c>
      <c r="T69" s="306">
        <v>0</v>
      </c>
      <c r="U69" s="314"/>
      <c r="V69" s="309">
        <f t="shared" si="20"/>
        <v>4.0473165769999992</v>
      </c>
      <c r="W69" s="309">
        <f t="shared" si="21"/>
        <v>-1.7873165769999995</v>
      </c>
      <c r="X69" s="309">
        <f t="shared" si="25"/>
        <v>0.11356011928057275</v>
      </c>
      <c r="Z69" s="315">
        <v>2.2599999999999998</v>
      </c>
      <c r="AA69" s="306">
        <v>2.89</v>
      </c>
      <c r="AB69" s="306">
        <v>74.900000000000006</v>
      </c>
      <c r="AC69" s="314">
        <v>1.25</v>
      </c>
      <c r="AD69" s="314">
        <v>4.5364076923076903E-2</v>
      </c>
      <c r="AE69" s="314">
        <v>2.7670390743670801</v>
      </c>
      <c r="AF69" s="306">
        <v>0</v>
      </c>
      <c r="AG69" s="314"/>
      <c r="AH69" s="309">
        <f t="shared" si="22"/>
        <v>4.0473165769999992</v>
      </c>
      <c r="AI69" s="309">
        <f t="shared" si="23"/>
        <v>-1.7873165769999995</v>
      </c>
      <c r="AJ69" s="309">
        <f t="shared" si="26"/>
        <v>0.11356011928057275</v>
      </c>
      <c r="AP69"/>
    </row>
    <row r="70" spans="1:42">
      <c r="A70" s="307">
        <v>43465</v>
      </c>
      <c r="B70" s="315">
        <v>2.09</v>
      </c>
      <c r="C70" s="306">
        <v>3.15</v>
      </c>
      <c r="D70" s="306">
        <v>74.7</v>
      </c>
      <c r="E70" s="314">
        <v>-7.4999999999999803E-2</v>
      </c>
      <c r="F70" s="314">
        <v>5.8940076923076901E-2</v>
      </c>
      <c r="G70" s="314">
        <v>2.6947568562496498</v>
      </c>
      <c r="H70" s="306">
        <v>0</v>
      </c>
      <c r="I70" s="314"/>
      <c r="J70" s="309">
        <f t="shared" si="18"/>
        <v>4.7228445025000001</v>
      </c>
      <c r="K70" s="309">
        <f t="shared" si="19"/>
        <v>-2.6328445025000002</v>
      </c>
      <c r="L70" s="309">
        <f t="shared" si="24"/>
        <v>0.36507129180559794</v>
      </c>
      <c r="N70" s="315">
        <v>2.09</v>
      </c>
      <c r="O70" s="306">
        <v>3.15</v>
      </c>
      <c r="P70" s="306">
        <v>74.7</v>
      </c>
      <c r="Q70" s="314">
        <v>-7.4999999999999803E-2</v>
      </c>
      <c r="R70" s="314">
        <v>5.8940076923076901E-2</v>
      </c>
      <c r="S70" s="314">
        <v>2.6947568562496498</v>
      </c>
      <c r="T70" s="306">
        <v>0</v>
      </c>
      <c r="U70" s="314"/>
      <c r="V70" s="309">
        <f t="shared" si="20"/>
        <v>4.7228445025000001</v>
      </c>
      <c r="W70" s="309">
        <f t="shared" si="21"/>
        <v>-2.6328445025000002</v>
      </c>
      <c r="X70" s="309">
        <f t="shared" si="25"/>
        <v>0.36507129180559794</v>
      </c>
      <c r="Z70" s="315">
        <v>2.09</v>
      </c>
      <c r="AA70" s="306">
        <v>3.15</v>
      </c>
      <c r="AB70" s="306">
        <v>74.7</v>
      </c>
      <c r="AC70" s="314">
        <v>-7.4999999999999803E-2</v>
      </c>
      <c r="AD70" s="314">
        <v>5.8940076923076901E-2</v>
      </c>
      <c r="AE70" s="314">
        <v>2.6947568562496498</v>
      </c>
      <c r="AF70" s="306">
        <v>0</v>
      </c>
      <c r="AG70" s="314"/>
      <c r="AH70" s="309">
        <f t="shared" si="22"/>
        <v>4.7228445025000001</v>
      </c>
      <c r="AI70" s="309">
        <f t="shared" si="23"/>
        <v>-2.6328445025000002</v>
      </c>
      <c r="AJ70" s="309">
        <f t="shared" si="26"/>
        <v>0.36507129180559794</v>
      </c>
      <c r="AP70"/>
    </row>
    <row r="71" spans="1:42">
      <c r="A71" s="307">
        <v>43555</v>
      </c>
      <c r="B71" s="315">
        <v>2.23</v>
      </c>
      <c r="C71" s="306">
        <v>2.71</v>
      </c>
      <c r="D71" s="306">
        <v>74.599999999999994</v>
      </c>
      <c r="E71" s="314">
        <v>0.1</v>
      </c>
      <c r="F71" s="314">
        <v>6.0284769230769197E-2</v>
      </c>
      <c r="G71" s="314">
        <v>3.1047695644654998</v>
      </c>
      <c r="H71" s="306">
        <v>0</v>
      </c>
      <c r="I71" s="314"/>
      <c r="J71" s="309">
        <f t="shared" si="18"/>
        <v>4.2424235079999999</v>
      </c>
      <c r="K71" s="309">
        <f t="shared" si="19"/>
        <v>-2.0124235079999999</v>
      </c>
      <c r="L71" s="309">
        <f t="shared" si="24"/>
        <v>0.11457373122410017</v>
      </c>
      <c r="N71" s="315">
        <v>2.23</v>
      </c>
      <c r="O71" s="306">
        <v>2.71</v>
      </c>
      <c r="P71" s="306">
        <v>74.599999999999994</v>
      </c>
      <c r="Q71" s="314">
        <v>0.1</v>
      </c>
      <c r="R71" s="314">
        <v>6.0284769230769197E-2</v>
      </c>
      <c r="S71" s="314">
        <v>3.1047695644654998</v>
      </c>
      <c r="T71" s="306">
        <v>0</v>
      </c>
      <c r="U71" s="314"/>
      <c r="V71" s="309">
        <f t="shared" si="20"/>
        <v>4.2424235079999999</v>
      </c>
      <c r="W71" s="309">
        <f t="shared" si="21"/>
        <v>-2.0124235079999999</v>
      </c>
      <c r="X71" s="309">
        <f t="shared" si="25"/>
        <v>0.11457373122410017</v>
      </c>
      <c r="Z71" s="315">
        <v>2.23</v>
      </c>
      <c r="AA71" s="306">
        <v>2.71</v>
      </c>
      <c r="AB71" s="306">
        <v>74.599999999999994</v>
      </c>
      <c r="AC71" s="314">
        <v>0.1</v>
      </c>
      <c r="AD71" s="314">
        <v>6.0284769230769197E-2</v>
      </c>
      <c r="AE71" s="314">
        <v>3.1047695644654998</v>
      </c>
      <c r="AF71" s="306">
        <v>0</v>
      </c>
      <c r="AG71" s="314"/>
      <c r="AH71" s="309">
        <f t="shared" si="22"/>
        <v>4.2424235079999999</v>
      </c>
      <c r="AI71" s="309">
        <f t="shared" si="23"/>
        <v>-2.0124235079999999</v>
      </c>
      <c r="AJ71" s="309">
        <f t="shared" si="26"/>
        <v>0.11457373122410017</v>
      </c>
      <c r="AP71"/>
    </row>
    <row r="72" spans="1:42">
      <c r="A72" s="307">
        <v>43646</v>
      </c>
      <c r="B72" s="315">
        <v>1.82</v>
      </c>
      <c r="C72" s="306">
        <v>2.5299999999999998</v>
      </c>
      <c r="D72" s="306">
        <v>75.900000000000006</v>
      </c>
      <c r="E72" s="314">
        <v>0.17499999999999999</v>
      </c>
      <c r="F72" s="314">
        <v>4.6494692307692299E-2</v>
      </c>
      <c r="G72" s="314">
        <v>2.9059383836880399</v>
      </c>
      <c r="H72" s="306">
        <v>1</v>
      </c>
      <c r="I72" s="314"/>
      <c r="J72" s="309">
        <f t="shared" si="18"/>
        <v>1.9016197714999996</v>
      </c>
      <c r="K72" s="309">
        <f t="shared" si="19"/>
        <v>-8.1619771499999549E-2</v>
      </c>
      <c r="L72" s="309">
        <f t="shared" si="24"/>
        <v>-0.48515270555836409</v>
      </c>
      <c r="N72" s="315">
        <v>1.82</v>
      </c>
      <c r="O72" s="306">
        <v>2.5299999999999998</v>
      </c>
      <c r="P72" s="306">
        <v>75.900000000000006</v>
      </c>
      <c r="Q72" s="314">
        <v>0.17499999999999999</v>
      </c>
      <c r="R72" s="314">
        <v>4.6494692307692299E-2</v>
      </c>
      <c r="S72" s="314">
        <v>2.9059383836880399</v>
      </c>
      <c r="T72" s="306">
        <v>1</v>
      </c>
      <c r="U72" s="314"/>
      <c r="V72" s="309">
        <f t="shared" si="20"/>
        <v>1.9016197714999996</v>
      </c>
      <c r="W72" s="309">
        <f t="shared" si="21"/>
        <v>-8.1619771499999549E-2</v>
      </c>
      <c r="X72" s="309">
        <f t="shared" si="25"/>
        <v>-0.48515270555836409</v>
      </c>
      <c r="Z72" s="315">
        <v>1.82</v>
      </c>
      <c r="AA72" s="306">
        <v>2.5299999999999998</v>
      </c>
      <c r="AB72" s="306">
        <v>75.900000000000006</v>
      </c>
      <c r="AC72" s="314">
        <v>0.17499999999999999</v>
      </c>
      <c r="AD72" s="314">
        <v>4.6494692307692299E-2</v>
      </c>
      <c r="AE72" s="314">
        <v>2.9059383836880399</v>
      </c>
      <c r="AF72" s="306">
        <v>1</v>
      </c>
      <c r="AG72" s="314"/>
      <c r="AH72" s="309">
        <f t="shared" si="22"/>
        <v>1.9016197714999996</v>
      </c>
      <c r="AI72" s="309">
        <f t="shared" si="23"/>
        <v>-8.1619771499999549E-2</v>
      </c>
      <c r="AJ72" s="309">
        <f t="shared" si="26"/>
        <v>-0.48515270555836409</v>
      </c>
      <c r="AP72"/>
    </row>
    <row r="73" spans="1:42">
      <c r="A73" s="307">
        <v>43738</v>
      </c>
      <c r="B73" s="315">
        <v>1.06</v>
      </c>
      <c r="C73" s="306">
        <v>2.06</v>
      </c>
      <c r="D73" s="306">
        <v>74.900000000000006</v>
      </c>
      <c r="E73" s="314">
        <v>-0.17499999999999999</v>
      </c>
      <c r="F73" s="314">
        <v>5.4876769230769201E-2</v>
      </c>
      <c r="G73" s="314">
        <v>2.8795001158278</v>
      </c>
      <c r="H73" s="306">
        <v>1</v>
      </c>
      <c r="I73" s="314"/>
      <c r="J73" s="309">
        <f t="shared" si="18"/>
        <v>1.5753466504999993</v>
      </c>
      <c r="K73" s="309">
        <f t="shared" si="19"/>
        <v>-0.51534665049999928</v>
      </c>
      <c r="L73" s="309">
        <f t="shared" si="24"/>
        <v>-0.20897941716235871</v>
      </c>
      <c r="N73" s="315">
        <v>1.06</v>
      </c>
      <c r="O73" s="306">
        <v>2.06</v>
      </c>
      <c r="P73" s="306">
        <v>74.900000000000006</v>
      </c>
      <c r="Q73" s="314">
        <v>-0.17499999999999999</v>
      </c>
      <c r="R73" s="314">
        <v>5.4876769230769201E-2</v>
      </c>
      <c r="S73" s="314">
        <v>2.8795001158278</v>
      </c>
      <c r="T73" s="306">
        <v>1</v>
      </c>
      <c r="U73" s="314"/>
      <c r="V73" s="309">
        <f t="shared" si="20"/>
        <v>1.5753466504999993</v>
      </c>
      <c r="W73" s="309">
        <f t="shared" si="21"/>
        <v>-0.51534665049999928</v>
      </c>
      <c r="X73" s="309">
        <f t="shared" si="25"/>
        <v>-0.20897941716235871</v>
      </c>
      <c r="Z73" s="315">
        <v>1.06</v>
      </c>
      <c r="AA73" s="306">
        <v>2.06</v>
      </c>
      <c r="AB73" s="306">
        <v>74.900000000000006</v>
      </c>
      <c r="AC73" s="314">
        <v>-0.17499999999999999</v>
      </c>
      <c r="AD73" s="314">
        <v>5.4876769230769201E-2</v>
      </c>
      <c r="AE73" s="314">
        <v>2.8795001158278</v>
      </c>
      <c r="AF73" s="306">
        <v>1</v>
      </c>
      <c r="AG73" s="314"/>
      <c r="AH73" s="309">
        <f t="shared" si="22"/>
        <v>1.5753466504999993</v>
      </c>
      <c r="AI73" s="309">
        <f t="shared" si="23"/>
        <v>-0.51534665049999928</v>
      </c>
      <c r="AJ73" s="309">
        <f t="shared" si="26"/>
        <v>-0.20897941716235871</v>
      </c>
      <c r="AP73"/>
    </row>
    <row r="74" spans="1:42">
      <c r="A74" s="307">
        <v>43830</v>
      </c>
      <c r="B74" s="315">
        <v>0.47</v>
      </c>
      <c r="C74" s="306">
        <v>1.7</v>
      </c>
      <c r="D74" s="306">
        <v>73.2</v>
      </c>
      <c r="E74" s="314">
        <v>0.22500000000000001</v>
      </c>
      <c r="F74" s="314">
        <v>4.4184384615384598E-2</v>
      </c>
      <c r="G74" s="314">
        <v>2.9360188896999699</v>
      </c>
      <c r="H74" s="306">
        <v>1</v>
      </c>
      <c r="I74" s="314"/>
      <c r="J74" s="309">
        <f t="shared" si="18"/>
        <v>1.1316257325000003</v>
      </c>
      <c r="K74" s="309">
        <f t="shared" si="19"/>
        <v>-0.66162573250000034</v>
      </c>
      <c r="L74" s="309">
        <f t="shared" si="24"/>
        <v>-0.2209874597924269</v>
      </c>
      <c r="N74" s="315">
        <v>0.47</v>
      </c>
      <c r="O74" s="306">
        <v>1.7</v>
      </c>
      <c r="P74" s="306">
        <v>73.2</v>
      </c>
      <c r="Q74" s="314">
        <v>0.22500000000000001</v>
      </c>
      <c r="R74" s="314">
        <v>4.4184384615384598E-2</v>
      </c>
      <c r="S74" s="314">
        <v>2.9360188896999699</v>
      </c>
      <c r="T74" s="306">
        <v>1</v>
      </c>
      <c r="U74" s="314"/>
      <c r="V74" s="309">
        <f t="shared" si="20"/>
        <v>1.1316257325000003</v>
      </c>
      <c r="W74" s="309">
        <f t="shared" si="21"/>
        <v>-0.66162573250000034</v>
      </c>
      <c r="X74" s="309">
        <f t="shared" si="25"/>
        <v>-0.2209874597924269</v>
      </c>
      <c r="Z74" s="315">
        <v>0.47</v>
      </c>
      <c r="AA74" s="306">
        <v>1.7</v>
      </c>
      <c r="AB74" s="306">
        <v>73.2</v>
      </c>
      <c r="AC74" s="314">
        <v>0.22500000000000001</v>
      </c>
      <c r="AD74" s="314">
        <v>4.4184384615384598E-2</v>
      </c>
      <c r="AE74" s="314">
        <v>2.9360188896999699</v>
      </c>
      <c r="AF74" s="306">
        <v>1</v>
      </c>
      <c r="AG74" s="314"/>
      <c r="AH74" s="309">
        <f t="shared" si="22"/>
        <v>1.1316257325000003</v>
      </c>
      <c r="AI74" s="309">
        <f t="shared" si="23"/>
        <v>-0.66162573250000034</v>
      </c>
      <c r="AJ74" s="309">
        <f t="shared" si="26"/>
        <v>-0.2209874597924269</v>
      </c>
      <c r="AP74"/>
    </row>
    <row r="75" spans="1:42">
      <c r="A75" s="310">
        <v>43921</v>
      </c>
      <c r="B75" s="321">
        <f>B74+L75</f>
        <v>0.83474351605515917</v>
      </c>
      <c r="C75" s="306">
        <v>1.75</v>
      </c>
      <c r="D75" s="319">
        <f>D74+(D$78-D$74)*bdp!$AQ118</f>
        <v>81.742323630934663</v>
      </c>
      <c r="E75" s="316">
        <f>E$78*bdp!$AQ118</f>
        <v>-3.2005894731093605</v>
      </c>
      <c r="F75" s="314">
        <v>5.9538229999999998E-2</v>
      </c>
      <c r="G75" s="316">
        <f>bdp!BF109*100</f>
        <v>0.60627414188978435</v>
      </c>
      <c r="H75" s="311">
        <v>1</v>
      </c>
      <c r="I75" s="317"/>
      <c r="J75" s="312">
        <f t="shared" si="18"/>
        <v>2.1027943538917495</v>
      </c>
      <c r="K75" s="312">
        <f t="shared" si="19"/>
        <v>-1.2680508378365904</v>
      </c>
      <c r="L75" s="312">
        <f t="shared" si="24"/>
        <v>0.3647435160551592</v>
      </c>
      <c r="N75" s="321">
        <f>N74+X75</f>
        <v>0.80861620088190755</v>
      </c>
      <c r="O75" s="306">
        <v>1.75</v>
      </c>
      <c r="P75" s="319">
        <f>P74+(P$78-P$74)*bdp!$AQ118</f>
        <v>80.708323522561926</v>
      </c>
      <c r="Q75" s="316">
        <f>Q$78*bdp!$AQ118</f>
        <v>-2.9988026600636193</v>
      </c>
      <c r="R75" s="314">
        <v>5.9538229999999998E-2</v>
      </c>
      <c r="S75" s="316">
        <f>bdp!BG109*100</f>
        <v>0.60627414188978435</v>
      </c>
      <c r="T75" s="311">
        <v>1</v>
      </c>
      <c r="U75" s="317"/>
      <c r="V75" s="312">
        <f t="shared" si="20"/>
        <v>2.0585003412463574</v>
      </c>
      <c r="W75" s="312">
        <f t="shared" si="21"/>
        <v>-1.2498841403644498</v>
      </c>
      <c r="X75" s="312">
        <f t="shared" si="25"/>
        <v>0.33861620088190764</v>
      </c>
      <c r="Z75" s="321">
        <f>Z74+AJ75</f>
        <v>0.77818707419960975</v>
      </c>
      <c r="AA75" s="306">
        <v>1.75</v>
      </c>
      <c r="AB75" s="319">
        <f>AB74+(AB$78-AB$74)*bdp!$AQ118</f>
        <v>79.523951306978688</v>
      </c>
      <c r="AC75" s="316">
        <f>AC$78*bdp!$AQ118</f>
        <v>-2.7574749720090739</v>
      </c>
      <c r="AD75" s="314">
        <v>5.9538229999999998E-2</v>
      </c>
      <c r="AE75" s="316">
        <f>bdp!BH109*100</f>
        <v>0.60627414188978435</v>
      </c>
      <c r="AF75" s="311">
        <v>1</v>
      </c>
      <c r="AG75" s="317"/>
      <c r="AH75" s="312">
        <f t="shared" si="22"/>
        <v>2.0045370358665218</v>
      </c>
      <c r="AI75" s="312">
        <f t="shared" si="23"/>
        <v>-1.226349961666912</v>
      </c>
      <c r="AJ75" s="312">
        <f t="shared" si="26"/>
        <v>0.30818707419960983</v>
      </c>
    </row>
    <row r="76" spans="1:42">
      <c r="A76" s="310">
        <v>44012</v>
      </c>
      <c r="B76" s="321">
        <f t="shared" ref="B76:B78" si="27">B75+L76</f>
        <v>1.4315903403263193</v>
      </c>
      <c r="C76" s="319">
        <f>$C$75</f>
        <v>1.75</v>
      </c>
      <c r="D76" s="319">
        <f>D75+(D$78-D$74)*bdp!$AQ119</f>
        <v>100.25998186205769</v>
      </c>
      <c r="E76" s="316">
        <f>E$78*bdp!$AQ119+E75</f>
        <v>-10.138680859221413</v>
      </c>
      <c r="F76" s="316">
        <f>F75</f>
        <v>5.9538229999999998E-2</v>
      </c>
      <c r="G76" s="316">
        <f>bdp!BF110*100</f>
        <v>-9.5604277334506058</v>
      </c>
      <c r="H76" s="311">
        <v>1</v>
      </c>
      <c r="I76" s="317"/>
      <c r="J76" s="312">
        <f t="shared" ref="J76:J78" si="28">$C$80+$B$83*C76+$B$84*D76+$B$85*E76+$B$86*H76</f>
        <v>3.9484736884576273</v>
      </c>
      <c r="K76" s="312">
        <f t="shared" ref="K76:K78" si="29">B76-J76</f>
        <v>-2.5168833481313078</v>
      </c>
      <c r="L76" s="312">
        <f t="shared" ref="L76:L78" si="30">$B$89+$B$90*K75+$B$91*(C76-C75)+$B$92*(D76-D75)+$B$93*(E76-E75)+$B$94*(H76-H75)+$B$95*F76+$B$96*G76</f>
        <v>0.59684682427116009</v>
      </c>
      <c r="N76" s="321">
        <f>N75+X76</f>
        <v>1.3467621625278987</v>
      </c>
      <c r="O76" s="319">
        <f>$O$75</f>
        <v>1.75</v>
      </c>
      <c r="P76" s="319">
        <f>P75+(P$78-P$74)*bdp!$AQ119</f>
        <v>96.984523639355032</v>
      </c>
      <c r="Q76" s="316">
        <f>Q$78*bdp!$AQ119+Q75</f>
        <v>-9.4994698275477365</v>
      </c>
      <c r="R76" s="316">
        <f>$R$75</f>
        <v>5.9538229999999998E-2</v>
      </c>
      <c r="S76" s="316">
        <f>bdp!BG110*100</f>
        <v>-9.5604277334506058</v>
      </c>
      <c r="T76" s="311">
        <v>1</v>
      </c>
      <c r="U76" s="317"/>
      <c r="V76" s="312">
        <f t="shared" ref="V76:V78" si="31">$C$80+$B$83*O76+$B$84*P76+$B$85*Q76+$B$86*T76</f>
        <v>3.808161142297291</v>
      </c>
      <c r="W76" s="312">
        <f t="shared" ref="W76:W78" si="32">N76-V76</f>
        <v>-2.4613989797693923</v>
      </c>
      <c r="X76" s="312">
        <f t="shared" ref="X76:X78" si="33">$B$89+$B$90*W75+$B$91*(O76-O75)+$B$92*(P76-P75)+$B$93*(Q76-Q75)+$B$94*(T76-T75)+$B$95*R76+$B$96*S76</f>
        <v>0.53814596164599104</v>
      </c>
      <c r="Z76" s="321">
        <f t="shared" ref="Z76:Z78" si="34">Z75+AJ76</f>
        <v>1.2476972967891076</v>
      </c>
      <c r="AA76" s="319">
        <f>$AA$75</f>
        <v>1.75</v>
      </c>
      <c r="AB76" s="319">
        <f>AB75+(AB$78-AB$74)*bdp!$AQ119</f>
        <v>93.232723537150179</v>
      </c>
      <c r="AC76" s="316">
        <f>AC$78*bdp!$AQ119+AC75</f>
        <v>-8.7350030215934655</v>
      </c>
      <c r="AD76" s="316">
        <f>$AD$75</f>
        <v>5.9538229999999998E-2</v>
      </c>
      <c r="AE76" s="316">
        <f>bdp!BH110*100</f>
        <v>-9.5604277334506058</v>
      </c>
      <c r="AF76" s="311">
        <v>1</v>
      </c>
      <c r="AG76" s="317"/>
      <c r="AH76" s="312">
        <f t="shared" ref="AH76:AH78" si="35">$C$80+$B$83*AA76+$B$84*AB76+$B$85*AC76+$B$86*AF76</f>
        <v>3.6372186531240911</v>
      </c>
      <c r="AI76" s="312">
        <f t="shared" ref="AI76:AI78" si="36">Z76-AH76</f>
        <v>-2.3895213563349835</v>
      </c>
      <c r="AJ76" s="312">
        <f t="shared" ref="AJ76:AJ78" si="37">$B$89+$B$90*AI75+$B$91*(AA76-AA75)+$B$92*(AB76-AB75)+$B$93*(AC76-AC75)+$B$94*(AF76-AF75)+$B$95*AD76+$B$96*AE76</f>
        <v>0.46951022258949793</v>
      </c>
    </row>
    <row r="77" spans="1:42">
      <c r="A77" s="310">
        <v>44104</v>
      </c>
      <c r="B77" s="321">
        <f t="shared" si="27"/>
        <v>1.6501196784227776</v>
      </c>
      <c r="C77" s="319">
        <f t="shared" ref="C77:C78" si="38">$C$75</f>
        <v>1.75</v>
      </c>
      <c r="D77" s="319">
        <f>D76+(D$78-D$74)*bdp!$AQ120</f>
        <v>107.49277341152199</v>
      </c>
      <c r="E77" s="316">
        <f>E$78*bdp!$AQ120+E76</f>
        <v>-12.848622263288416</v>
      </c>
      <c r="F77" s="316">
        <f t="shared" ref="F77:F78" si="39">F76</f>
        <v>5.9538229999999998E-2</v>
      </c>
      <c r="G77" s="316">
        <f>bdp!BF111*100</f>
        <v>-19.014317796041414</v>
      </c>
      <c r="H77" s="311">
        <v>1</v>
      </c>
      <c r="I77" s="317"/>
      <c r="J77" s="312">
        <f t="shared" si="28"/>
        <v>4.6693755286067429</v>
      </c>
      <c r="K77" s="312">
        <f t="shared" si="29"/>
        <v>-3.0192558501839653</v>
      </c>
      <c r="L77" s="312">
        <f t="shared" si="30"/>
        <v>0.21852933809645825</v>
      </c>
      <c r="N77" s="321">
        <f>N76+X77</f>
        <v>1.559987170066129</v>
      </c>
      <c r="O77" s="319">
        <f t="shared" ref="O77:O78" si="40">$O$75</f>
        <v>1.75</v>
      </c>
      <c r="P77" s="319">
        <f>P76+(P$78-P$74)*bdp!$AQ120</f>
        <v>103.34182655491877</v>
      </c>
      <c r="Q77" s="316">
        <f>Q$78*bdp!$AQ120+Q76</f>
        <v>-12.038558192178806</v>
      </c>
      <c r="R77" s="316">
        <f t="shared" ref="R77:R78" si="41">$R$75</f>
        <v>5.9538229999999998E-2</v>
      </c>
      <c r="S77" s="316">
        <f>bdp!BG111*100</f>
        <v>-17.397924899175543</v>
      </c>
      <c r="T77" s="311">
        <v>1</v>
      </c>
      <c r="U77" s="317"/>
      <c r="V77" s="312">
        <f t="shared" si="31"/>
        <v>4.4915592101480488</v>
      </c>
      <c r="W77" s="312">
        <f t="shared" si="32"/>
        <v>-2.9315720400819201</v>
      </c>
      <c r="X77" s="312">
        <f t="shared" si="33"/>
        <v>0.21322500753823032</v>
      </c>
      <c r="Z77" s="321">
        <f t="shared" si="34"/>
        <v>1.4515587335504649</v>
      </c>
      <c r="AA77" s="319">
        <f t="shared" ref="AA77:AA78" si="42">$AA$75</f>
        <v>1.75</v>
      </c>
      <c r="AB77" s="319">
        <f>AB76+(AB$78-AB$74)*bdp!$AQ120</f>
        <v>98.587217647710418</v>
      </c>
      <c r="AC77" s="316">
        <f>AC$78*bdp!$AQ120+AC76</f>
        <v>-11.069759059538653</v>
      </c>
      <c r="AD77" s="316">
        <f t="shared" ref="AD77:AD78" si="43">$AD$75</f>
        <v>5.9538229999999998E-2</v>
      </c>
      <c r="AE77" s="316">
        <f>bdp!BH111*100</f>
        <v>-15.680507446255564</v>
      </c>
      <c r="AF77" s="311">
        <v>1</v>
      </c>
      <c r="AG77" s="317"/>
      <c r="AH77" s="312">
        <f t="shared" si="35"/>
        <v>4.274925951578215</v>
      </c>
      <c r="AI77" s="312">
        <f t="shared" si="36"/>
        <v>-2.8233672180277498</v>
      </c>
      <c r="AJ77" s="312">
        <f t="shared" si="37"/>
        <v>0.20386143676135732</v>
      </c>
    </row>
    <row r="78" spans="1:42">
      <c r="A78" s="310">
        <v>44196</v>
      </c>
      <c r="B78" s="321">
        <f t="shared" si="27"/>
        <v>1.6557179383096645</v>
      </c>
      <c r="C78" s="319">
        <f t="shared" si="38"/>
        <v>1.75</v>
      </c>
      <c r="D78" s="319">
        <f>javne_financije!AY31*100</f>
        <v>108.54650153966672</v>
      </c>
      <c r="E78" s="316">
        <f>javne_financije!AH24*100</f>
        <v>-13.243427154810675</v>
      </c>
      <c r="F78" s="316">
        <f t="shared" si="39"/>
        <v>5.9538229999999998E-2</v>
      </c>
      <c r="G78" s="316">
        <f>bdp!BF112*100</f>
        <v>-23.154432940285918</v>
      </c>
      <c r="H78" s="311">
        <v>1</v>
      </c>
      <c r="I78" s="317"/>
      <c r="J78" s="312">
        <f t="shared" si="28"/>
        <v>4.7744019961056807</v>
      </c>
      <c r="K78" s="312">
        <f t="shared" si="29"/>
        <v>-3.118684057796016</v>
      </c>
      <c r="L78" s="312">
        <f t="shared" si="30"/>
        <v>5.5982598868868916E-3</v>
      </c>
      <c r="N78" s="321">
        <f>N77+X78</f>
        <v>1.5887033673035931</v>
      </c>
      <c r="O78" s="319">
        <f t="shared" si="40"/>
        <v>1.75</v>
      </c>
      <c r="P78" s="319">
        <f>javne_financije!AZ31*100</f>
        <v>104.26800683475305</v>
      </c>
      <c r="Q78" s="316">
        <f>javne_financije!AI24*100</f>
        <v>-12.408471912401376</v>
      </c>
      <c r="R78" s="316">
        <f t="shared" si="41"/>
        <v>5.9538229999999998E-2</v>
      </c>
      <c r="S78" s="316">
        <f>bdp!BG112*100</f>
        <v>-20.616542836488026</v>
      </c>
      <c r="T78" s="311">
        <v>1</v>
      </c>
      <c r="U78" s="317"/>
      <c r="V78" s="312">
        <f t="shared" si="31"/>
        <v>4.5911218426239451</v>
      </c>
      <c r="W78" s="312">
        <f t="shared" si="32"/>
        <v>-3.002418475320352</v>
      </c>
      <c r="X78" s="312">
        <f t="shared" si="33"/>
        <v>2.8716197237463992E-2</v>
      </c>
      <c r="Z78" s="321">
        <f t="shared" si="34"/>
        <v>1.5091847331059736</v>
      </c>
      <c r="AA78" s="319">
        <f t="shared" si="42"/>
        <v>1.75</v>
      </c>
      <c r="AB78" s="319">
        <f>javne_financije!BA31*100</f>
        <v>99.367301107560763</v>
      </c>
      <c r="AC78" s="316">
        <f>javne_financije!AJ24*100</f>
        <v>-11.409904091054285</v>
      </c>
      <c r="AD78" s="316">
        <f t="shared" si="43"/>
        <v>5.9538229999999998E-2</v>
      </c>
      <c r="AE78" s="316">
        <f>bdp!BH112*100</f>
        <v>-17.473663345894874</v>
      </c>
      <c r="AF78" s="311">
        <v>1</v>
      </c>
      <c r="AG78" s="317"/>
      <c r="AH78" s="312">
        <f t="shared" si="35"/>
        <v>4.3678320049752699</v>
      </c>
      <c r="AI78" s="312">
        <f t="shared" si="36"/>
        <v>-2.8586472718692963</v>
      </c>
      <c r="AJ78" s="312">
        <f t="shared" si="37"/>
        <v>5.7625999555508733E-2</v>
      </c>
    </row>
    <row r="79" spans="1:42" s="305" customFormat="1"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  <c r="AA79" s="306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</row>
    <row r="80" spans="1:42" ht="14.4">
      <c r="A80" s="324" t="s">
        <v>990</v>
      </c>
      <c r="B80" s="109" t="s">
        <v>980</v>
      </c>
      <c r="C80" s="323">
        <v>3.0579130000000001</v>
      </c>
    </row>
    <row r="82" spans="1:6" ht="14.4">
      <c r="A82" s="324" t="s">
        <v>983</v>
      </c>
      <c r="B82" s="109" t="s">
        <v>185</v>
      </c>
      <c r="C82" s="109" t="s">
        <v>186</v>
      </c>
      <c r="D82" s="109" t="s">
        <v>981</v>
      </c>
      <c r="E82" s="109" t="s">
        <v>188</v>
      </c>
      <c r="F82" s="109"/>
    </row>
    <row r="83" spans="1:6" ht="14.4">
      <c r="A83" s="109" t="s">
        <v>973</v>
      </c>
      <c r="B83" s="323">
        <v>0.97025779999999995</v>
      </c>
      <c r="C83" s="323">
        <v>3.60544E-2</v>
      </c>
      <c r="D83" s="323">
        <v>26.911000000000001</v>
      </c>
      <c r="E83" s="323" t="s">
        <v>982</v>
      </c>
      <c r="F83" s="323" t="s">
        <v>194</v>
      </c>
    </row>
    <row r="84" spans="1:6" ht="14.4">
      <c r="A84" s="109" t="s">
        <v>974</v>
      </c>
      <c r="B84" s="323">
        <v>-1.8944099999999998E-2</v>
      </c>
      <c r="C84" s="323">
        <v>2.8914000000000001E-3</v>
      </c>
      <c r="D84" s="323">
        <v>-6.5519999999999996</v>
      </c>
      <c r="E84" s="323">
        <v>7.4630000000000005E-11</v>
      </c>
      <c r="F84" s="323" t="s">
        <v>194</v>
      </c>
    </row>
    <row r="85" spans="1:6" ht="14.4">
      <c r="A85" s="109" t="s">
        <v>975</v>
      </c>
      <c r="B85" s="323">
        <v>-0.31658269999999999</v>
      </c>
      <c r="C85" s="323">
        <v>1.16563E-2</v>
      </c>
      <c r="D85" s="323">
        <v>-27.16</v>
      </c>
      <c r="E85" s="323" t="s">
        <v>982</v>
      </c>
      <c r="F85" s="323" t="s">
        <v>194</v>
      </c>
    </row>
    <row r="86" spans="1:6" ht="14.4">
      <c r="A86" s="109" t="s">
        <v>979</v>
      </c>
      <c r="B86" s="323">
        <v>-2.1177863000000001</v>
      </c>
      <c r="C86" s="323">
        <v>0.1610471</v>
      </c>
      <c r="D86" s="323">
        <v>-13.15</v>
      </c>
      <c r="E86" s="323" t="s">
        <v>982</v>
      </c>
      <c r="F86" s="323" t="s">
        <v>194</v>
      </c>
    </row>
    <row r="87" spans="1:6">
      <c r="F87" s="306"/>
    </row>
    <row r="88" spans="1:6" ht="14.4">
      <c r="A88" s="324" t="s">
        <v>989</v>
      </c>
      <c r="B88" s="109" t="s">
        <v>185</v>
      </c>
      <c r="C88" s="109" t="s">
        <v>186</v>
      </c>
      <c r="D88" s="109" t="s">
        <v>187</v>
      </c>
      <c r="E88" s="109" t="s">
        <v>188</v>
      </c>
      <c r="F88" s="109"/>
    </row>
    <row r="89" spans="1:6" ht="14.4">
      <c r="A89" s="109" t="s">
        <v>192</v>
      </c>
      <c r="B89" s="323">
        <v>-0.37261499999999997</v>
      </c>
      <c r="C89" s="323">
        <v>3.0293E-2</v>
      </c>
      <c r="D89" s="323">
        <v>-12.3</v>
      </c>
      <c r="E89" s="323" t="s">
        <v>957</v>
      </c>
      <c r="F89" s="323" t="s">
        <v>194</v>
      </c>
    </row>
    <row r="90" spans="1:6" ht="14.4">
      <c r="A90" s="109" t="s">
        <v>984</v>
      </c>
      <c r="B90" s="323">
        <v>-0.11357399999999999</v>
      </c>
      <c r="C90" s="323">
        <v>1.0109999999999999E-2</v>
      </c>
      <c r="D90" s="323">
        <v>-11.234</v>
      </c>
      <c r="E90" s="323" t="s">
        <v>957</v>
      </c>
      <c r="F90" s="323" t="s">
        <v>194</v>
      </c>
    </row>
    <row r="91" spans="1:6" ht="14.4">
      <c r="A91" s="109" t="s">
        <v>985</v>
      </c>
      <c r="B91" s="323">
        <v>0.41077200000000003</v>
      </c>
      <c r="C91" s="323">
        <v>3.313E-2</v>
      </c>
      <c r="D91" s="323">
        <v>12.398999999999999</v>
      </c>
      <c r="E91" s="323" t="s">
        <v>957</v>
      </c>
      <c r="F91" s="323" t="s">
        <v>194</v>
      </c>
    </row>
    <row r="92" spans="1:6" ht="14.4">
      <c r="A92" s="109" t="s">
        <v>986</v>
      </c>
      <c r="B92" s="323">
        <v>1.5656E-2</v>
      </c>
      <c r="C92" s="323">
        <v>6.2899999999999996E-3</v>
      </c>
      <c r="D92" s="323">
        <v>2.4889999999999999</v>
      </c>
      <c r="E92" s="323">
        <v>1.2895E-2</v>
      </c>
      <c r="F92" s="323" t="s">
        <v>799</v>
      </c>
    </row>
    <row r="93" spans="1:6" ht="14.4">
      <c r="A93" s="109" t="s">
        <v>987</v>
      </c>
      <c r="B93" s="323">
        <v>-4.9255E-2</v>
      </c>
      <c r="C93" s="323">
        <v>1.4029E-2</v>
      </c>
      <c r="D93" s="323">
        <v>-3.5110000000000001</v>
      </c>
      <c r="E93" s="323">
        <v>4.5800000000000002E-4</v>
      </c>
      <c r="F93" s="323" t="s">
        <v>194</v>
      </c>
    </row>
    <row r="94" spans="1:6" ht="14.4">
      <c r="A94" s="109" t="s">
        <v>988</v>
      </c>
      <c r="B94" s="323">
        <v>-0.58350500000000005</v>
      </c>
      <c r="C94" s="323">
        <v>0.13388800000000001</v>
      </c>
      <c r="D94" s="323">
        <v>-4.3579999999999997</v>
      </c>
      <c r="E94" s="323">
        <v>1.3900000000000001E-5</v>
      </c>
      <c r="F94" s="323" t="s">
        <v>194</v>
      </c>
    </row>
    <row r="95" spans="1:6" ht="14.4">
      <c r="A95" s="109" t="s">
        <v>976</v>
      </c>
      <c r="B95" s="323">
        <v>5.5517079999999996</v>
      </c>
      <c r="C95" s="323">
        <v>0.52125299999999997</v>
      </c>
      <c r="D95" s="323">
        <v>10.651</v>
      </c>
      <c r="E95" s="323" t="s">
        <v>957</v>
      </c>
      <c r="F95" s="323" t="s">
        <v>194</v>
      </c>
    </row>
    <row r="96" spans="1:6" ht="14.4">
      <c r="A96" s="109" t="s">
        <v>978</v>
      </c>
      <c r="B96" s="323">
        <v>1.4303E-2</v>
      </c>
      <c r="C96" s="323">
        <v>4.2560000000000002E-3</v>
      </c>
      <c r="D96" s="323">
        <v>3.3610000000000002</v>
      </c>
      <c r="E96" s="323">
        <v>7.9299999999999998E-4</v>
      </c>
      <c r="F96" s="323" t="s">
        <v>194</v>
      </c>
    </row>
  </sheetData>
  <mergeCells count="3">
    <mergeCell ref="B1:L1"/>
    <mergeCell ref="N1:X1"/>
    <mergeCell ref="Z1:A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62" workbookViewId="0">
      <selection activeCell="C75" sqref="C75"/>
    </sheetView>
  </sheetViews>
  <sheetFormatPr defaultRowHeight="13.8"/>
  <cols>
    <col min="6" max="6" width="8.796875" style="305"/>
    <col min="7" max="13" width="8.796875" style="333"/>
  </cols>
  <sheetData>
    <row r="1" spans="1:14" s="305" customFormat="1" ht="14.4">
      <c r="B1" s="399" t="s">
        <v>5</v>
      </c>
      <c r="C1" s="399"/>
      <c r="D1" s="399"/>
      <c r="E1" s="399"/>
      <c r="F1" s="400" t="s">
        <v>6</v>
      </c>
      <c r="G1" s="400"/>
      <c r="H1" s="400"/>
      <c r="I1" s="401" t="s">
        <v>7</v>
      </c>
      <c r="J1" s="401"/>
      <c r="K1" s="401"/>
    </row>
    <row r="2" spans="1:14">
      <c r="A2" s="325" t="s">
        <v>9</v>
      </c>
      <c r="B2" s="331" t="s">
        <v>1004</v>
      </c>
      <c r="C2" s="331" t="s">
        <v>1005</v>
      </c>
      <c r="D2" s="326" t="s">
        <v>977</v>
      </c>
      <c r="E2" s="326" t="s">
        <v>1001</v>
      </c>
      <c r="F2" s="331" t="s">
        <v>1004</v>
      </c>
      <c r="G2" s="331" t="s">
        <v>1005</v>
      </c>
      <c r="H2" s="326" t="s">
        <v>1001</v>
      </c>
      <c r="I2" s="331" t="s">
        <v>1004</v>
      </c>
      <c r="J2" s="331" t="s">
        <v>1005</v>
      </c>
      <c r="K2" s="326" t="s">
        <v>1001</v>
      </c>
      <c r="L2"/>
      <c r="M2"/>
    </row>
    <row r="3" spans="1:14">
      <c r="A3" s="327">
        <v>37346</v>
      </c>
      <c r="B3" s="331">
        <v>10.203802021823027</v>
      </c>
      <c r="C3" s="331"/>
      <c r="D3" s="326">
        <v>3.3622242424242401</v>
      </c>
      <c r="E3" s="330">
        <f>prinos!B3</f>
        <v>6.86</v>
      </c>
      <c r="F3" s="331">
        <v>10.203802021823027</v>
      </c>
      <c r="G3" s="331"/>
      <c r="H3" s="330">
        <f>prinos!N3</f>
        <v>6.86</v>
      </c>
      <c r="I3" s="331">
        <v>10.203802021823027</v>
      </c>
      <c r="J3" s="331"/>
      <c r="K3" s="330">
        <f>prinos!Z3</f>
        <v>6.86</v>
      </c>
      <c r="L3"/>
      <c r="M3"/>
      <c r="N3" s="297"/>
    </row>
    <row r="4" spans="1:14">
      <c r="A4" s="327">
        <v>37437</v>
      </c>
      <c r="B4" s="331">
        <v>10.971615479063095</v>
      </c>
      <c r="C4" s="331"/>
      <c r="D4" s="326">
        <v>3.4460137085137101</v>
      </c>
      <c r="E4" s="330">
        <f>prinos!B4</f>
        <v>7.03</v>
      </c>
      <c r="F4" s="331">
        <v>10.971615479063095</v>
      </c>
      <c r="G4" s="331"/>
      <c r="H4" s="330">
        <f>prinos!N4</f>
        <v>7.03</v>
      </c>
      <c r="I4" s="331">
        <v>10.971615479063095</v>
      </c>
      <c r="J4" s="331"/>
      <c r="K4" s="330">
        <f>prinos!Z4</f>
        <v>7.03</v>
      </c>
      <c r="L4"/>
      <c r="M4"/>
      <c r="N4" s="297"/>
    </row>
    <row r="5" spans="1:14">
      <c r="A5" s="327">
        <v>37529</v>
      </c>
      <c r="B5" s="331">
        <v>11.196896711463111</v>
      </c>
      <c r="C5" s="331"/>
      <c r="D5" s="326">
        <v>3.35735064935065</v>
      </c>
      <c r="E5" s="330">
        <f>prinos!B5</f>
        <v>7.22</v>
      </c>
      <c r="F5" s="331">
        <v>11.196896711463111</v>
      </c>
      <c r="G5" s="331"/>
      <c r="H5" s="330">
        <f>prinos!N5</f>
        <v>7.22</v>
      </c>
      <c r="I5" s="331">
        <v>11.196896711463111</v>
      </c>
      <c r="J5" s="331"/>
      <c r="K5" s="330">
        <f>prinos!Z5</f>
        <v>7.22</v>
      </c>
      <c r="L5"/>
      <c r="M5"/>
      <c r="N5" s="297"/>
    </row>
    <row r="6" spans="1:14">
      <c r="A6" s="327">
        <v>37621</v>
      </c>
      <c r="B6" s="331">
        <v>10.376249236273903</v>
      </c>
      <c r="C6" s="331"/>
      <c r="D6" s="326">
        <v>3.1088179089026902</v>
      </c>
      <c r="E6" s="330">
        <f>prinos!B6</f>
        <v>6.81</v>
      </c>
      <c r="F6" s="331">
        <v>10.376249236273903</v>
      </c>
      <c r="G6" s="331"/>
      <c r="H6" s="330">
        <f>prinos!N6</f>
        <v>6.81</v>
      </c>
      <c r="I6" s="331">
        <v>10.376249236273903</v>
      </c>
      <c r="J6" s="331"/>
      <c r="K6" s="330">
        <f>prinos!Z6</f>
        <v>6.81</v>
      </c>
      <c r="L6"/>
      <c r="M6"/>
      <c r="N6" s="297"/>
    </row>
    <row r="7" spans="1:14">
      <c r="A7" s="327">
        <v>37711</v>
      </c>
      <c r="B7" s="331">
        <v>9.7543611623486743</v>
      </c>
      <c r="C7" s="331"/>
      <c r="D7" s="326">
        <v>2.6830735209235201</v>
      </c>
      <c r="E7" s="330">
        <f>prinos!B7</f>
        <v>6.18</v>
      </c>
      <c r="F7" s="331">
        <v>9.7543611623486743</v>
      </c>
      <c r="G7" s="331"/>
      <c r="H7" s="330">
        <f>prinos!N7</f>
        <v>6.18</v>
      </c>
      <c r="I7" s="331">
        <v>9.7543611623486743</v>
      </c>
      <c r="J7" s="331"/>
      <c r="K7" s="330">
        <f>prinos!Z7</f>
        <v>6.18</v>
      </c>
      <c r="L7"/>
      <c r="M7"/>
      <c r="N7" s="297"/>
    </row>
    <row r="8" spans="1:14">
      <c r="A8" s="327">
        <v>37802</v>
      </c>
      <c r="B8" s="331">
        <v>9.7662938063104683</v>
      </c>
      <c r="C8" s="331"/>
      <c r="D8" s="326">
        <v>2.3619103174603202</v>
      </c>
      <c r="E8" s="330">
        <f>prinos!B8</f>
        <v>5.89</v>
      </c>
      <c r="F8" s="331">
        <v>9.7662938063104683</v>
      </c>
      <c r="G8" s="331"/>
      <c r="H8" s="330">
        <f>prinos!N8</f>
        <v>5.89</v>
      </c>
      <c r="I8" s="331">
        <v>9.7662938063104683</v>
      </c>
      <c r="J8" s="331"/>
      <c r="K8" s="330">
        <f>prinos!Z8</f>
        <v>5.89</v>
      </c>
      <c r="L8"/>
      <c r="M8"/>
      <c r="N8" s="297"/>
    </row>
    <row r="9" spans="1:14">
      <c r="A9" s="327">
        <v>37894</v>
      </c>
      <c r="B9" s="331">
        <v>10.317305232046301</v>
      </c>
      <c r="C9" s="331"/>
      <c r="D9" s="326">
        <v>2.1392634105025401</v>
      </c>
      <c r="E9" s="330">
        <f>prinos!B9</f>
        <v>5.7</v>
      </c>
      <c r="F9" s="331">
        <v>10.317305232046301</v>
      </c>
      <c r="G9" s="331"/>
      <c r="H9" s="330">
        <f>prinos!N9</f>
        <v>5.7</v>
      </c>
      <c r="I9" s="331">
        <v>10.317305232046301</v>
      </c>
      <c r="J9" s="331"/>
      <c r="K9" s="330">
        <f>prinos!Z9</f>
        <v>5.7</v>
      </c>
      <c r="L9"/>
      <c r="M9"/>
      <c r="N9" s="297"/>
    </row>
    <row r="10" spans="1:14">
      <c r="A10" s="327">
        <v>37986</v>
      </c>
      <c r="B10" s="331">
        <v>9.6760175120490395</v>
      </c>
      <c r="C10" s="331"/>
      <c r="D10" s="326">
        <v>2.1496495169082102</v>
      </c>
      <c r="E10" s="330">
        <f>prinos!B10</f>
        <v>5.48</v>
      </c>
      <c r="F10" s="331">
        <v>9.6760175120490395</v>
      </c>
      <c r="G10" s="331"/>
      <c r="H10" s="330">
        <f>prinos!N10</f>
        <v>5.48</v>
      </c>
      <c r="I10" s="331">
        <v>9.6760175120490395</v>
      </c>
      <c r="J10" s="331"/>
      <c r="K10" s="330">
        <f>prinos!Z10</f>
        <v>5.48</v>
      </c>
      <c r="L10"/>
      <c r="M10"/>
      <c r="N10" s="297"/>
    </row>
    <row r="11" spans="1:14">
      <c r="A11" s="327">
        <v>38077</v>
      </c>
      <c r="B11" s="331">
        <v>8.897918571524583</v>
      </c>
      <c r="C11" s="331"/>
      <c r="D11" s="326">
        <v>2.0629507591442402</v>
      </c>
      <c r="E11" s="330">
        <f>prinos!B11</f>
        <v>5.57</v>
      </c>
      <c r="F11" s="331">
        <v>8.897918571524583</v>
      </c>
      <c r="G11" s="331"/>
      <c r="H11" s="330">
        <f>prinos!N11</f>
        <v>5.57</v>
      </c>
      <c r="I11" s="331">
        <v>8.897918571524583</v>
      </c>
      <c r="J11" s="331"/>
      <c r="K11" s="330">
        <f>prinos!Z11</f>
        <v>5.57</v>
      </c>
      <c r="L11"/>
      <c r="M11"/>
      <c r="N11" s="297"/>
    </row>
    <row r="12" spans="1:14">
      <c r="A12" s="327">
        <v>38168</v>
      </c>
      <c r="B12" s="331">
        <v>9.5021468879323923</v>
      </c>
      <c r="C12" s="331"/>
      <c r="D12" s="326">
        <v>2.0824296536796498</v>
      </c>
      <c r="E12" s="330">
        <f>prinos!B12</f>
        <v>5.54</v>
      </c>
      <c r="F12" s="331">
        <v>9.5021468879323923</v>
      </c>
      <c r="G12" s="331"/>
      <c r="H12" s="330">
        <f>prinos!N12</f>
        <v>5.54</v>
      </c>
      <c r="I12" s="331">
        <v>9.5021468879323923</v>
      </c>
      <c r="J12" s="331"/>
      <c r="K12" s="330">
        <f>prinos!Z12</f>
        <v>5.54</v>
      </c>
      <c r="L12"/>
      <c r="M12"/>
      <c r="N12" s="297"/>
    </row>
    <row r="13" spans="1:14">
      <c r="A13" s="327">
        <v>38260</v>
      </c>
      <c r="B13" s="331">
        <v>10.077823022838334</v>
      </c>
      <c r="C13" s="331"/>
      <c r="D13" s="326">
        <v>2.1163030303030301</v>
      </c>
      <c r="E13" s="330">
        <f>prinos!B13</f>
        <v>5.68</v>
      </c>
      <c r="F13" s="331">
        <v>10.077823022838334</v>
      </c>
      <c r="G13" s="331"/>
      <c r="H13" s="330">
        <f>prinos!N13</f>
        <v>5.68</v>
      </c>
      <c r="I13" s="331">
        <v>10.077823022838334</v>
      </c>
      <c r="J13" s="331"/>
      <c r="K13" s="330">
        <f>prinos!Z13</f>
        <v>5.68</v>
      </c>
      <c r="L13"/>
      <c r="M13"/>
      <c r="N13" s="297"/>
    </row>
    <row r="14" spans="1:14">
      <c r="A14" s="327">
        <v>38352</v>
      </c>
      <c r="B14" s="331">
        <v>9.6316071020483118</v>
      </c>
      <c r="C14" s="331"/>
      <c r="D14" s="326">
        <v>2.1636084760649998</v>
      </c>
      <c r="E14" s="330">
        <f>prinos!B14</f>
        <v>5.27</v>
      </c>
      <c r="F14" s="331">
        <v>9.6316071020483118</v>
      </c>
      <c r="G14" s="331"/>
      <c r="H14" s="330">
        <f>prinos!N14</f>
        <v>5.27</v>
      </c>
      <c r="I14" s="331">
        <v>9.6316071020483118</v>
      </c>
      <c r="J14" s="331"/>
      <c r="K14" s="330">
        <f>prinos!Z14</f>
        <v>5.27</v>
      </c>
      <c r="L14"/>
      <c r="M14"/>
      <c r="N14" s="297"/>
    </row>
    <row r="15" spans="1:14">
      <c r="A15" s="327">
        <v>38442</v>
      </c>
      <c r="B15" s="331">
        <v>9.1284850891557383</v>
      </c>
      <c r="C15" s="331"/>
      <c r="D15" s="326">
        <v>2.1403230158730202</v>
      </c>
      <c r="E15" s="330">
        <f>prinos!B15</f>
        <v>4.75</v>
      </c>
      <c r="F15" s="331">
        <v>9.1284850891557383</v>
      </c>
      <c r="G15" s="331"/>
      <c r="H15" s="330">
        <f>prinos!N15</f>
        <v>4.75</v>
      </c>
      <c r="I15" s="331">
        <v>9.1284850891557383</v>
      </c>
      <c r="J15" s="331"/>
      <c r="K15" s="330">
        <f>prinos!Z15</f>
        <v>4.75</v>
      </c>
      <c r="L15"/>
      <c r="M15"/>
      <c r="N15" s="297"/>
    </row>
    <row r="16" spans="1:14">
      <c r="A16" s="327">
        <v>38533</v>
      </c>
      <c r="B16" s="331">
        <v>9.1043223166424667</v>
      </c>
      <c r="C16" s="331"/>
      <c r="D16" s="326">
        <v>2.1246399711399699</v>
      </c>
      <c r="E16" s="330">
        <f>prinos!B16</f>
        <v>4.37</v>
      </c>
      <c r="F16" s="331">
        <v>9.1043223166424667</v>
      </c>
      <c r="G16" s="331"/>
      <c r="H16" s="330">
        <f>prinos!N16</f>
        <v>4.37</v>
      </c>
      <c r="I16" s="331">
        <v>9.1043223166424667</v>
      </c>
      <c r="J16" s="331"/>
      <c r="K16" s="330">
        <f>prinos!Z16</f>
        <v>4.37</v>
      </c>
      <c r="L16"/>
      <c r="M16"/>
      <c r="N16" s="297"/>
    </row>
    <row r="17" spans="1:14">
      <c r="A17" s="327">
        <v>38625</v>
      </c>
      <c r="B17" s="331">
        <v>9.4685691361919577</v>
      </c>
      <c r="C17" s="331"/>
      <c r="D17" s="326">
        <v>2.1303477319781701</v>
      </c>
      <c r="E17" s="330">
        <f>prinos!B17</f>
        <v>4.28</v>
      </c>
      <c r="F17" s="331">
        <v>9.4685691361919577</v>
      </c>
      <c r="G17" s="331"/>
      <c r="H17" s="330">
        <f>prinos!N17</f>
        <v>4.28</v>
      </c>
      <c r="I17" s="331">
        <v>9.4685691361919577</v>
      </c>
      <c r="J17" s="331"/>
      <c r="K17" s="330">
        <f>prinos!Z17</f>
        <v>4.28</v>
      </c>
      <c r="L17"/>
      <c r="M17"/>
      <c r="N17" s="297"/>
    </row>
    <row r="18" spans="1:14">
      <c r="A18" s="327">
        <v>38717</v>
      </c>
      <c r="B18" s="331">
        <v>8.5849364469215868</v>
      </c>
      <c r="C18" s="331">
        <v>6.3156164567222994</v>
      </c>
      <c r="D18" s="326">
        <v>2.3434466089466102</v>
      </c>
      <c r="E18" s="330">
        <f>prinos!B18</f>
        <v>3.97</v>
      </c>
      <c r="F18" s="331">
        <v>8.5849364469215868</v>
      </c>
      <c r="G18" s="331">
        <v>6.3156164567222994</v>
      </c>
      <c r="H18" s="330">
        <f>prinos!N18</f>
        <v>3.97</v>
      </c>
      <c r="I18" s="331">
        <v>8.5849364469215868</v>
      </c>
      <c r="J18" s="331">
        <v>6.3156164567222994</v>
      </c>
      <c r="K18" s="330">
        <f>prinos!Z18</f>
        <v>3.97</v>
      </c>
      <c r="L18"/>
      <c r="M18"/>
      <c r="N18" s="297"/>
    </row>
    <row r="19" spans="1:14">
      <c r="A19" s="327">
        <v>38807</v>
      </c>
      <c r="B19" s="331">
        <v>8.1891794632643098</v>
      </c>
      <c r="C19" s="331">
        <v>6.8025216141603089</v>
      </c>
      <c r="D19" s="326">
        <v>2.61154683794466</v>
      </c>
      <c r="E19" s="330">
        <f>prinos!B19</f>
        <v>4.04</v>
      </c>
      <c r="F19" s="331">
        <v>8.1891794632643098</v>
      </c>
      <c r="G19" s="331">
        <v>6.8025216141603089</v>
      </c>
      <c r="H19" s="330">
        <f>prinos!N19</f>
        <v>4.04</v>
      </c>
      <c r="I19" s="331">
        <v>8.1891794632643098</v>
      </c>
      <c r="J19" s="331">
        <v>6.8025216141603089</v>
      </c>
      <c r="K19" s="330">
        <f>prinos!Z19</f>
        <v>4.04</v>
      </c>
      <c r="L19"/>
      <c r="M19"/>
      <c r="N19" s="297"/>
    </row>
    <row r="20" spans="1:14">
      <c r="A20" s="327">
        <v>38898</v>
      </c>
      <c r="B20" s="331">
        <v>8.9117407172703835</v>
      </c>
      <c r="C20" s="331">
        <v>6.7024130577264698</v>
      </c>
      <c r="D20" s="326">
        <v>2.8894865319865302</v>
      </c>
      <c r="E20" s="330">
        <f>prinos!B20</f>
        <v>4.2</v>
      </c>
      <c r="F20" s="331">
        <v>8.9117407172703835</v>
      </c>
      <c r="G20" s="331">
        <v>6.7024130577264698</v>
      </c>
      <c r="H20" s="330">
        <f>prinos!N20</f>
        <v>4.2</v>
      </c>
      <c r="I20" s="331">
        <v>8.9117407172703835</v>
      </c>
      <c r="J20" s="331">
        <v>6.7024130577264698</v>
      </c>
      <c r="K20" s="330">
        <f>prinos!Z20</f>
        <v>4.2</v>
      </c>
      <c r="L20"/>
      <c r="M20"/>
      <c r="N20" s="297"/>
    </row>
    <row r="21" spans="1:14">
      <c r="A21" s="327">
        <v>38990</v>
      </c>
      <c r="B21" s="331">
        <v>8.9353107794524576</v>
      </c>
      <c r="C21" s="331">
        <v>7.1506196753550544</v>
      </c>
      <c r="D21" s="326">
        <v>3.22134989648033</v>
      </c>
      <c r="E21" s="330">
        <f>prinos!B21</f>
        <v>4.6399999999999997</v>
      </c>
      <c r="F21" s="331">
        <v>8.9353107794524576</v>
      </c>
      <c r="G21" s="331">
        <v>7.1506196753550544</v>
      </c>
      <c r="H21" s="330">
        <f>prinos!N21</f>
        <v>4.6399999999999997</v>
      </c>
      <c r="I21" s="331">
        <v>8.9353107794524576</v>
      </c>
      <c r="J21" s="331">
        <v>7.1506196753550544</v>
      </c>
      <c r="K21" s="330">
        <f>prinos!Z21</f>
        <v>4.6399999999999997</v>
      </c>
      <c r="L21"/>
      <c r="M21"/>
      <c r="N21" s="297"/>
    </row>
    <row r="22" spans="1:14">
      <c r="A22" s="327">
        <v>39082</v>
      </c>
      <c r="B22" s="331">
        <v>8.7935166132953935</v>
      </c>
      <c r="C22" s="331">
        <v>6.6005280834442237</v>
      </c>
      <c r="D22" s="326">
        <v>3.5944641148325398</v>
      </c>
      <c r="E22" s="330">
        <f>prinos!B22</f>
        <v>4.75</v>
      </c>
      <c r="F22" s="331">
        <v>8.7935166132953935</v>
      </c>
      <c r="G22" s="331">
        <v>6.6005280834442237</v>
      </c>
      <c r="H22" s="330">
        <f>prinos!N22</f>
        <v>4.75</v>
      </c>
      <c r="I22" s="331">
        <v>8.7935166132953935</v>
      </c>
      <c r="J22" s="331">
        <v>6.6005280834442237</v>
      </c>
      <c r="K22" s="330">
        <f>prinos!Z22</f>
        <v>4.75</v>
      </c>
      <c r="L22"/>
      <c r="M22"/>
      <c r="N22" s="297"/>
    </row>
    <row r="23" spans="1:14">
      <c r="A23" s="327">
        <v>39172</v>
      </c>
      <c r="B23" s="331">
        <v>8.1968071315474091</v>
      </c>
      <c r="C23" s="331">
        <v>6.8954213452860724</v>
      </c>
      <c r="D23" s="326">
        <v>3.8203242424242401</v>
      </c>
      <c r="E23" s="330">
        <f>prinos!B23</f>
        <v>4.75</v>
      </c>
      <c r="F23" s="331">
        <v>8.1968071315474091</v>
      </c>
      <c r="G23" s="331">
        <v>6.8954213452860724</v>
      </c>
      <c r="H23" s="330">
        <f>prinos!N23</f>
        <v>4.75</v>
      </c>
      <c r="I23" s="331">
        <v>8.1968071315474091</v>
      </c>
      <c r="J23" s="331">
        <v>6.8954213452860724</v>
      </c>
      <c r="K23" s="330">
        <f>prinos!Z23</f>
        <v>4.75</v>
      </c>
      <c r="L23"/>
      <c r="M23"/>
      <c r="N23" s="297"/>
    </row>
    <row r="24" spans="1:14">
      <c r="A24" s="327">
        <v>39263</v>
      </c>
      <c r="B24" s="331">
        <v>8.813725503792103</v>
      </c>
      <c r="C24" s="331">
        <v>7.036892576508615</v>
      </c>
      <c r="D24" s="326">
        <v>4.06479623300676</v>
      </c>
      <c r="E24" s="330">
        <f>prinos!B24</f>
        <v>4.47</v>
      </c>
      <c r="F24" s="331">
        <v>8.813725503792103</v>
      </c>
      <c r="G24" s="331">
        <v>7.036892576508615</v>
      </c>
      <c r="H24" s="330">
        <f>prinos!N24</f>
        <v>4.47</v>
      </c>
      <c r="I24" s="331">
        <v>8.813725503792103</v>
      </c>
      <c r="J24" s="331">
        <v>7.036892576508615</v>
      </c>
      <c r="K24" s="330">
        <f>prinos!Z24</f>
        <v>4.47</v>
      </c>
      <c r="L24"/>
      <c r="M24"/>
      <c r="N24" s="297"/>
    </row>
    <row r="25" spans="1:14">
      <c r="A25" s="327">
        <v>39355</v>
      </c>
      <c r="B25" s="331">
        <v>9.3415510150639367</v>
      </c>
      <c r="C25" s="331">
        <v>7.4447894500980603</v>
      </c>
      <c r="D25" s="326">
        <v>4.5004968379446604</v>
      </c>
      <c r="E25" s="330">
        <f>prinos!B25</f>
        <v>5.04</v>
      </c>
      <c r="F25" s="331">
        <v>9.3415510150639367</v>
      </c>
      <c r="G25" s="331">
        <v>7.4447894500980603</v>
      </c>
      <c r="H25" s="330">
        <f>prinos!N25</f>
        <v>5.04</v>
      </c>
      <c r="I25" s="331">
        <v>9.3415510150639367</v>
      </c>
      <c r="J25" s="331">
        <v>7.4447894500980603</v>
      </c>
      <c r="K25" s="330">
        <f>prinos!Z25</f>
        <v>5.04</v>
      </c>
      <c r="L25"/>
      <c r="M25"/>
      <c r="N25" s="297"/>
    </row>
    <row r="26" spans="1:14">
      <c r="A26" s="327">
        <v>39447</v>
      </c>
      <c r="B26" s="331">
        <v>9.0134137687054157</v>
      </c>
      <c r="C26" s="331">
        <v>7.1304071031017289</v>
      </c>
      <c r="D26" s="326">
        <v>4.7247683933153004</v>
      </c>
      <c r="E26" s="330">
        <f>prinos!B26</f>
        <v>5.22</v>
      </c>
      <c r="F26" s="331">
        <v>9.0134137687054157</v>
      </c>
      <c r="G26" s="331">
        <v>7.1304071031017289</v>
      </c>
      <c r="H26" s="330">
        <f>prinos!N26</f>
        <v>5.22</v>
      </c>
      <c r="I26" s="331">
        <v>9.0134137687054157</v>
      </c>
      <c r="J26" s="331">
        <v>7.1304071031017289</v>
      </c>
      <c r="K26" s="330">
        <f>prinos!Z26</f>
        <v>5.22</v>
      </c>
      <c r="L26"/>
      <c r="M26"/>
      <c r="N26" s="297"/>
    </row>
    <row r="27" spans="1:14">
      <c r="A27" s="327">
        <v>39538</v>
      </c>
      <c r="B27" s="331">
        <v>8.5556199752349702</v>
      </c>
      <c r="C27" s="331">
        <v>7.7213317064118794</v>
      </c>
      <c r="D27" s="326">
        <v>4.4800030378977702</v>
      </c>
      <c r="E27" s="330">
        <f>prinos!B27</f>
        <v>5.55</v>
      </c>
      <c r="F27" s="331">
        <v>8.5556199752349702</v>
      </c>
      <c r="G27" s="331">
        <v>7.7213317064118794</v>
      </c>
      <c r="H27" s="330">
        <f>prinos!N27</f>
        <v>5.55</v>
      </c>
      <c r="I27" s="331">
        <v>8.5556199752349702</v>
      </c>
      <c r="J27" s="331">
        <v>7.7213317064118794</v>
      </c>
      <c r="K27" s="330">
        <f>prinos!Z27</f>
        <v>5.55</v>
      </c>
      <c r="L27"/>
      <c r="M27"/>
      <c r="N27" s="297"/>
    </row>
    <row r="28" spans="1:14">
      <c r="A28" s="327">
        <v>39629</v>
      </c>
      <c r="B28" s="331">
        <v>9.4080681277911484</v>
      </c>
      <c r="C28" s="331">
        <v>7.9579358285881669</v>
      </c>
      <c r="D28" s="326">
        <v>4.86046825396825</v>
      </c>
      <c r="E28" s="330">
        <f>prinos!B28</f>
        <v>5.79</v>
      </c>
      <c r="F28" s="331">
        <v>9.4080681277911484</v>
      </c>
      <c r="G28" s="331">
        <v>7.9579358285881669</v>
      </c>
      <c r="H28" s="330">
        <f>prinos!N28</f>
        <v>5.79</v>
      </c>
      <c r="I28" s="331">
        <v>9.4080681277911484</v>
      </c>
      <c r="J28" s="331">
        <v>7.9579358285881669</v>
      </c>
      <c r="K28" s="330">
        <f>prinos!Z28</f>
        <v>5.79</v>
      </c>
      <c r="L28"/>
      <c r="M28"/>
      <c r="N28" s="297"/>
    </row>
    <row r="29" spans="1:14">
      <c r="A29" s="327">
        <v>39721</v>
      </c>
      <c r="B29" s="331">
        <v>10.032822848831886</v>
      </c>
      <c r="C29" s="331">
        <v>7.8384623880750866</v>
      </c>
      <c r="D29" s="326">
        <v>4.9817907647907598</v>
      </c>
      <c r="E29" s="330">
        <f>prinos!B29</f>
        <v>5.81</v>
      </c>
      <c r="F29" s="331">
        <v>10.032822848831886</v>
      </c>
      <c r="G29" s="331">
        <v>7.8384623880750866</v>
      </c>
      <c r="H29" s="330">
        <f>prinos!N29</f>
        <v>5.81</v>
      </c>
      <c r="I29" s="331">
        <v>10.032822848831886</v>
      </c>
      <c r="J29" s="331">
        <v>7.8384623880750866</v>
      </c>
      <c r="K29" s="330">
        <f>prinos!Z29</f>
        <v>5.81</v>
      </c>
      <c r="L29"/>
      <c r="M29"/>
      <c r="N29" s="297"/>
    </row>
    <row r="30" spans="1:14">
      <c r="A30" s="327">
        <v>39813</v>
      </c>
      <c r="B30" s="331">
        <v>10.13248673066844</v>
      </c>
      <c r="C30" s="331">
        <v>7.8633992841038092</v>
      </c>
      <c r="D30" s="326">
        <v>4.2146686680469303</v>
      </c>
      <c r="E30" s="330">
        <f>prinos!B30</f>
        <v>6.26</v>
      </c>
      <c r="F30" s="331">
        <v>10.13248673066844</v>
      </c>
      <c r="G30" s="331">
        <v>7.8633992841038092</v>
      </c>
      <c r="H30" s="330">
        <f>prinos!N30</f>
        <v>6.26</v>
      </c>
      <c r="I30" s="331">
        <v>10.13248673066844</v>
      </c>
      <c r="J30" s="331">
        <v>7.8633992841038092</v>
      </c>
      <c r="K30" s="330">
        <f>prinos!Z30</f>
        <v>6.26</v>
      </c>
      <c r="L30"/>
      <c r="M30"/>
      <c r="N30" s="297"/>
    </row>
    <row r="31" spans="1:14">
      <c r="A31" s="327">
        <v>39903</v>
      </c>
      <c r="B31" s="331">
        <v>10.174293590304348</v>
      </c>
      <c r="C31" s="331">
        <v>8.213225520517458</v>
      </c>
      <c r="D31" s="326">
        <v>2.01167611832612</v>
      </c>
      <c r="E31" s="330">
        <f>prinos!B31</f>
        <v>6.83</v>
      </c>
      <c r="F31" s="331">
        <v>10.174293590304348</v>
      </c>
      <c r="G31" s="331">
        <v>8.213225520517458</v>
      </c>
      <c r="H31" s="330">
        <f>prinos!N31</f>
        <v>6.83</v>
      </c>
      <c r="I31" s="331">
        <v>10.174293590304348</v>
      </c>
      <c r="J31" s="331">
        <v>8.213225520517458</v>
      </c>
      <c r="K31" s="330">
        <f>prinos!Z31</f>
        <v>6.83</v>
      </c>
      <c r="L31"/>
      <c r="M31"/>
      <c r="N31" s="297"/>
    </row>
    <row r="32" spans="1:14">
      <c r="A32" s="327">
        <v>39994</v>
      </c>
      <c r="B32" s="331">
        <v>10.702430781182846</v>
      </c>
      <c r="C32" s="331">
        <v>8.4183951732151758</v>
      </c>
      <c r="D32" s="326">
        <v>1.31063636363636</v>
      </c>
      <c r="E32" s="330">
        <f>prinos!B32</f>
        <v>8.4</v>
      </c>
      <c r="F32" s="331">
        <v>10.702430781182846</v>
      </c>
      <c r="G32" s="331">
        <v>8.4183951732151758</v>
      </c>
      <c r="H32" s="330">
        <f>prinos!N32</f>
        <v>8.4</v>
      </c>
      <c r="I32" s="331">
        <v>10.702430781182846</v>
      </c>
      <c r="J32" s="331">
        <v>8.4183951732151758</v>
      </c>
      <c r="K32" s="330">
        <f>prinos!Z32</f>
        <v>8.4</v>
      </c>
      <c r="L32"/>
      <c r="M32"/>
      <c r="N32" s="297"/>
    </row>
    <row r="33" spans="1:14">
      <c r="A33" s="327">
        <v>40086</v>
      </c>
      <c r="B33" s="331">
        <v>11.524706108858707</v>
      </c>
      <c r="C33" s="331">
        <v>8.2614760028667451</v>
      </c>
      <c r="D33" s="326">
        <v>0.86917454043540998</v>
      </c>
      <c r="E33" s="330">
        <f>prinos!B33</f>
        <v>8.5299999999999994</v>
      </c>
      <c r="F33" s="331">
        <v>11.524706108858707</v>
      </c>
      <c r="G33" s="331">
        <v>8.2614760028667451</v>
      </c>
      <c r="H33" s="330">
        <f>prinos!N33</f>
        <v>8.5299999999999994</v>
      </c>
      <c r="I33" s="331">
        <v>11.524706108858707</v>
      </c>
      <c r="J33" s="331">
        <v>8.2614760028667451</v>
      </c>
      <c r="K33" s="330">
        <f>prinos!Z33</f>
        <v>8.5299999999999994</v>
      </c>
      <c r="L33"/>
      <c r="M33"/>
      <c r="N33" s="297"/>
    </row>
    <row r="34" spans="1:14">
      <c r="A34" s="327">
        <v>40178</v>
      </c>
      <c r="B34" s="331">
        <v>10.622468297818509</v>
      </c>
      <c r="C34" s="331">
        <v>8.1994379061833058</v>
      </c>
      <c r="D34" s="326">
        <v>0.72191197691197695</v>
      </c>
      <c r="E34" s="330">
        <f>prinos!B34</f>
        <v>8.64</v>
      </c>
      <c r="F34" s="331">
        <v>10.622468297818509</v>
      </c>
      <c r="G34" s="331">
        <v>8.1994379061833058</v>
      </c>
      <c r="H34" s="330">
        <f>prinos!N34</f>
        <v>8.64</v>
      </c>
      <c r="I34" s="331">
        <v>10.622468297818509</v>
      </c>
      <c r="J34" s="331">
        <v>8.1994379061833058</v>
      </c>
      <c r="K34" s="330">
        <f>prinos!Z34</f>
        <v>8.64</v>
      </c>
      <c r="L34"/>
      <c r="M34"/>
      <c r="N34" s="297"/>
    </row>
    <row r="35" spans="1:14">
      <c r="A35" s="327">
        <v>40268</v>
      </c>
      <c r="B35" s="331">
        <v>9.4145415746893306</v>
      </c>
      <c r="C35" s="331">
        <v>8.3382705110944642</v>
      </c>
      <c r="D35" s="326">
        <v>0.66213550724637704</v>
      </c>
      <c r="E35" s="330">
        <f>prinos!B35</f>
        <v>5.95</v>
      </c>
      <c r="F35" s="331">
        <v>9.4145415746893306</v>
      </c>
      <c r="G35" s="331">
        <v>8.3382705110944642</v>
      </c>
      <c r="H35" s="330">
        <f>prinos!N35</f>
        <v>5.95</v>
      </c>
      <c r="I35" s="331">
        <v>9.4145415746893306</v>
      </c>
      <c r="J35" s="331">
        <v>8.3382705110944642</v>
      </c>
      <c r="K35" s="330">
        <f>prinos!Z35</f>
        <v>5.95</v>
      </c>
      <c r="L35"/>
      <c r="M35"/>
      <c r="N35" s="297"/>
    </row>
    <row r="36" spans="1:14">
      <c r="A36" s="327">
        <v>40359</v>
      </c>
      <c r="B36" s="331">
        <v>9.5645289843469286</v>
      </c>
      <c r="C36" s="331">
        <v>7.2361488881867384</v>
      </c>
      <c r="D36" s="326">
        <v>0.68627157287157303</v>
      </c>
      <c r="E36" s="330">
        <f>prinos!B36</f>
        <v>6.22</v>
      </c>
      <c r="F36" s="331">
        <v>9.5645289843469286</v>
      </c>
      <c r="G36" s="331">
        <v>7.2361488881867384</v>
      </c>
      <c r="H36" s="330">
        <f>prinos!N36</f>
        <v>6.22</v>
      </c>
      <c r="I36" s="331">
        <v>9.5645289843469286</v>
      </c>
      <c r="J36" s="331">
        <v>7.2361488881867384</v>
      </c>
      <c r="K36" s="330">
        <f>prinos!Z36</f>
        <v>6.22</v>
      </c>
      <c r="L36"/>
      <c r="M36"/>
      <c r="N36" s="297"/>
    </row>
    <row r="37" spans="1:14">
      <c r="A37" s="327">
        <v>40451</v>
      </c>
      <c r="B37" s="331">
        <v>9.9995320211083669</v>
      </c>
      <c r="C37" s="331">
        <v>8.0551831003679677</v>
      </c>
      <c r="D37" s="326">
        <v>0.87493939393939402</v>
      </c>
      <c r="E37" s="330">
        <f>prinos!B37</f>
        <v>6.56</v>
      </c>
      <c r="F37" s="331">
        <v>9.9995320211083669</v>
      </c>
      <c r="G37" s="331">
        <v>8.0551831003679677</v>
      </c>
      <c r="H37" s="330">
        <f>prinos!N37</f>
        <v>6.56</v>
      </c>
      <c r="I37" s="331">
        <v>9.9995320211083669</v>
      </c>
      <c r="J37" s="331">
        <v>8.0551831003679677</v>
      </c>
      <c r="K37" s="330">
        <f>prinos!Z37</f>
        <v>6.56</v>
      </c>
      <c r="L37"/>
      <c r="M37"/>
      <c r="N37" s="297"/>
    </row>
    <row r="38" spans="1:14">
      <c r="A38" s="327">
        <v>40543</v>
      </c>
      <c r="B38" s="331">
        <v>9.2989757834066147</v>
      </c>
      <c r="C38" s="331">
        <v>7.4719224729320421</v>
      </c>
      <c r="D38" s="326">
        <v>1.02046925779534</v>
      </c>
      <c r="E38" s="330">
        <f>prinos!B38</f>
        <v>6.41</v>
      </c>
      <c r="F38" s="331">
        <v>9.2989757834066147</v>
      </c>
      <c r="G38" s="331">
        <v>7.4719224729320421</v>
      </c>
      <c r="H38" s="330">
        <f>prinos!N38</f>
        <v>6.41</v>
      </c>
      <c r="I38" s="331">
        <v>9.2989757834066147</v>
      </c>
      <c r="J38" s="331">
        <v>7.4719224729320421</v>
      </c>
      <c r="K38" s="330">
        <f>prinos!Z38</f>
        <v>6.41</v>
      </c>
      <c r="L38"/>
      <c r="M38"/>
      <c r="N38" s="297"/>
    </row>
    <row r="39" spans="1:14">
      <c r="A39" s="327">
        <v>40633</v>
      </c>
      <c r="B39" s="331">
        <v>9.0738595216319737</v>
      </c>
      <c r="C39" s="331">
        <v>7.7931422632367022</v>
      </c>
      <c r="D39" s="326">
        <v>1.09316994478951</v>
      </c>
      <c r="E39" s="330">
        <f>prinos!B39</f>
        <v>6.55</v>
      </c>
      <c r="F39" s="331">
        <v>9.0738595216319737</v>
      </c>
      <c r="G39" s="331">
        <v>7.7931422632367022</v>
      </c>
      <c r="H39" s="330">
        <f>prinos!N39</f>
        <v>6.55</v>
      </c>
      <c r="I39" s="331">
        <v>9.0738595216319737</v>
      </c>
      <c r="J39" s="331">
        <v>7.7931422632367022</v>
      </c>
      <c r="K39" s="330">
        <f>prinos!Z39</f>
        <v>6.55</v>
      </c>
      <c r="L39"/>
      <c r="M39"/>
      <c r="N39" s="297"/>
    </row>
    <row r="40" spans="1:14">
      <c r="A40" s="327">
        <v>40724</v>
      </c>
      <c r="B40" s="331">
        <v>9.2057790361843104</v>
      </c>
      <c r="C40" s="331">
        <v>7.12305051227451</v>
      </c>
      <c r="D40" s="326">
        <v>1.4116307814992</v>
      </c>
      <c r="E40" s="330">
        <f>prinos!B40</f>
        <v>6.1</v>
      </c>
      <c r="F40" s="331">
        <v>9.2057790361843104</v>
      </c>
      <c r="G40" s="331">
        <v>7.12305051227451</v>
      </c>
      <c r="H40" s="330">
        <f>prinos!N40</f>
        <v>6.1</v>
      </c>
      <c r="I40" s="331">
        <v>9.2057790361843104</v>
      </c>
      <c r="J40" s="331">
        <v>7.12305051227451</v>
      </c>
      <c r="K40" s="330">
        <f>prinos!Z40</f>
        <v>6.1</v>
      </c>
      <c r="L40"/>
      <c r="M40"/>
      <c r="N40" s="297"/>
    </row>
    <row r="41" spans="1:14">
      <c r="A41" s="327">
        <v>40816</v>
      </c>
      <c r="B41" s="331">
        <v>9.3856557288438616</v>
      </c>
      <c r="C41" s="331">
        <v>6.9044840100039728</v>
      </c>
      <c r="D41" s="326">
        <v>1.5620535165317799</v>
      </c>
      <c r="E41" s="330">
        <f>prinos!B41</f>
        <v>6.24</v>
      </c>
      <c r="F41" s="331">
        <v>9.3856557288438616</v>
      </c>
      <c r="G41" s="331">
        <v>6.9044840100039728</v>
      </c>
      <c r="H41" s="330">
        <f>prinos!N41</f>
        <v>6.24</v>
      </c>
      <c r="I41" s="331">
        <v>9.3856557288438616</v>
      </c>
      <c r="J41" s="331">
        <v>6.9044840100039728</v>
      </c>
      <c r="K41" s="330">
        <f>prinos!Z41</f>
        <v>6.24</v>
      </c>
      <c r="L41"/>
      <c r="M41"/>
      <c r="N41" s="297"/>
    </row>
    <row r="42" spans="1:14">
      <c r="A42" s="327">
        <v>40908</v>
      </c>
      <c r="B42" s="331">
        <v>9.2620734426870364</v>
      </c>
      <c r="C42" s="331">
        <v>8.2973139186193876</v>
      </c>
      <c r="D42" s="326">
        <v>1.49554473304473</v>
      </c>
      <c r="E42" s="330">
        <f>prinos!B42</f>
        <v>6.81</v>
      </c>
      <c r="F42" s="331">
        <v>9.2620734426870364</v>
      </c>
      <c r="G42" s="331">
        <v>8.2973139186193876</v>
      </c>
      <c r="H42" s="330">
        <f>prinos!N42</f>
        <v>6.81</v>
      </c>
      <c r="I42" s="331">
        <v>9.2620734426870364</v>
      </c>
      <c r="J42" s="331">
        <v>8.2973139186193876</v>
      </c>
      <c r="K42" s="330">
        <f>prinos!Z42</f>
        <v>6.81</v>
      </c>
      <c r="L42"/>
      <c r="M42"/>
      <c r="N42" s="297"/>
    </row>
    <row r="43" spans="1:14">
      <c r="A43" s="327">
        <v>40999</v>
      </c>
      <c r="B43" s="331">
        <v>9.0738595216319737</v>
      </c>
      <c r="C43" s="331">
        <v>8.6974258098922466</v>
      </c>
      <c r="D43" s="326">
        <v>1.04298917748918</v>
      </c>
      <c r="E43" s="330">
        <f>prinos!B43</f>
        <v>7.54</v>
      </c>
      <c r="F43" s="331">
        <v>9.0738595216319737</v>
      </c>
      <c r="G43" s="331">
        <v>8.6974258098922466</v>
      </c>
      <c r="H43" s="330">
        <f>prinos!N43</f>
        <v>7.54</v>
      </c>
      <c r="I43" s="331">
        <v>9.0738595216319737</v>
      </c>
      <c r="J43" s="331">
        <v>8.6974258098922466</v>
      </c>
      <c r="K43" s="330">
        <f>prinos!Z43</f>
        <v>7.54</v>
      </c>
      <c r="L43"/>
      <c r="M43"/>
      <c r="N43" s="297"/>
    </row>
    <row r="44" spans="1:14">
      <c r="A44" s="327">
        <v>41090</v>
      </c>
      <c r="B44" s="331">
        <v>9.2057790361843104</v>
      </c>
      <c r="C44" s="331">
        <v>8.3936710548261075</v>
      </c>
      <c r="D44" s="326">
        <v>0.69602734107997299</v>
      </c>
      <c r="E44" s="330">
        <f>prinos!B44</f>
        <v>6.59</v>
      </c>
      <c r="F44" s="331">
        <v>9.2057790361843104</v>
      </c>
      <c r="G44" s="331">
        <v>8.3936710548261075</v>
      </c>
      <c r="H44" s="330">
        <f>prinos!N44</f>
        <v>6.59</v>
      </c>
      <c r="I44" s="331">
        <v>9.2057790361843104</v>
      </c>
      <c r="J44" s="331">
        <v>8.3936710548261075</v>
      </c>
      <c r="K44" s="330">
        <f>prinos!Z44</f>
        <v>6.59</v>
      </c>
      <c r="L44"/>
      <c r="M44"/>
      <c r="N44" s="297"/>
    </row>
    <row r="45" spans="1:14">
      <c r="A45" s="327">
        <v>41182</v>
      </c>
      <c r="B45" s="331">
        <v>9.3856557288438616</v>
      </c>
      <c r="C45" s="331">
        <v>8.4954346380338794</v>
      </c>
      <c r="D45" s="326">
        <v>0.35857891963109401</v>
      </c>
      <c r="E45" s="330">
        <f>prinos!B45</f>
        <v>6.43</v>
      </c>
      <c r="F45" s="331">
        <v>9.3856557288438616</v>
      </c>
      <c r="G45" s="331">
        <v>8.4954346380338794</v>
      </c>
      <c r="H45" s="330">
        <f>prinos!N45</f>
        <v>6.43</v>
      </c>
      <c r="I45" s="331">
        <v>9.3856557288438616</v>
      </c>
      <c r="J45" s="331">
        <v>8.4954346380338794</v>
      </c>
      <c r="K45" s="330">
        <f>prinos!Z45</f>
        <v>6.43</v>
      </c>
      <c r="L45"/>
      <c r="M45"/>
      <c r="N45" s="297"/>
    </row>
    <row r="46" spans="1:14">
      <c r="A46" s="327">
        <v>41274</v>
      </c>
      <c r="B46" s="331">
        <v>9.0516177399443372</v>
      </c>
      <c r="C46" s="331">
        <v>8.1681318649890269</v>
      </c>
      <c r="D46" s="326">
        <v>0.195128909229596</v>
      </c>
      <c r="E46" s="330">
        <f>prinos!B46</f>
        <v>4.78</v>
      </c>
      <c r="F46" s="331">
        <v>9.0516177399443372</v>
      </c>
      <c r="G46" s="331">
        <v>8.1681318649890269</v>
      </c>
      <c r="H46" s="330">
        <f>prinos!N46</f>
        <v>4.78</v>
      </c>
      <c r="I46" s="331">
        <v>9.0516177399443372</v>
      </c>
      <c r="J46" s="331">
        <v>8.1681318649890269</v>
      </c>
      <c r="K46" s="330">
        <f>prinos!Z46</f>
        <v>4.78</v>
      </c>
      <c r="L46"/>
      <c r="M46"/>
      <c r="N46" s="297"/>
    </row>
    <row r="47" spans="1:14">
      <c r="A47" s="327">
        <v>41364</v>
      </c>
      <c r="B47" s="331">
        <v>9.0737698177362258</v>
      </c>
      <c r="C47" s="331">
        <v>8.2508639916089237</v>
      </c>
      <c r="D47" s="326">
        <v>0.21143636363636401</v>
      </c>
      <c r="E47" s="330">
        <f>prinos!B47</f>
        <v>4.29</v>
      </c>
      <c r="F47" s="331">
        <v>9.0737698177362258</v>
      </c>
      <c r="G47" s="331">
        <v>8.2508639916089237</v>
      </c>
      <c r="H47" s="330">
        <f>prinos!N47</f>
        <v>4.29</v>
      </c>
      <c r="I47" s="331">
        <v>9.0737698177362258</v>
      </c>
      <c r="J47" s="331">
        <v>8.2508639916089237</v>
      </c>
      <c r="K47" s="330">
        <f>prinos!Z47</f>
        <v>4.29</v>
      </c>
      <c r="L47"/>
      <c r="M47"/>
      <c r="N47" s="297"/>
    </row>
    <row r="48" spans="1:14">
      <c r="A48" s="327">
        <v>41455</v>
      </c>
      <c r="B48" s="331">
        <v>8.7744357872498675</v>
      </c>
      <c r="C48" s="331">
        <v>8.1752419659962765</v>
      </c>
      <c r="D48" s="326">
        <v>0.206794011544012</v>
      </c>
      <c r="E48" s="330">
        <f>prinos!B48</f>
        <v>4.34</v>
      </c>
      <c r="F48" s="331">
        <v>8.7744357872498675</v>
      </c>
      <c r="G48" s="331">
        <v>8.1752419659962765</v>
      </c>
      <c r="H48" s="330">
        <f>prinos!N48</f>
        <v>4.34</v>
      </c>
      <c r="I48" s="331">
        <v>8.7744357872498675</v>
      </c>
      <c r="J48" s="331">
        <v>8.1752419659962765</v>
      </c>
      <c r="K48" s="330">
        <f>prinos!Z48</f>
        <v>4.34</v>
      </c>
      <c r="L48"/>
      <c r="M48"/>
      <c r="N48" s="297"/>
    </row>
    <row r="49" spans="1:14">
      <c r="A49" s="327">
        <v>41547</v>
      </c>
      <c r="B49" s="331">
        <v>8.5550672160763757</v>
      </c>
      <c r="C49" s="331">
        <v>8.4751057514151213</v>
      </c>
      <c r="D49" s="326">
        <v>0.22351217140347601</v>
      </c>
      <c r="E49" s="330">
        <f>prinos!B49</f>
        <v>4.91</v>
      </c>
      <c r="F49" s="331">
        <v>8.5550672160763757</v>
      </c>
      <c r="G49" s="331">
        <v>8.4751057514151213</v>
      </c>
      <c r="H49" s="330">
        <f>prinos!N49</f>
        <v>4.91</v>
      </c>
      <c r="I49" s="331">
        <v>8.5550672160763757</v>
      </c>
      <c r="J49" s="331">
        <v>8.4751057514151213</v>
      </c>
      <c r="K49" s="330">
        <f>prinos!Z49</f>
        <v>4.91</v>
      </c>
      <c r="L49"/>
      <c r="M49"/>
      <c r="N49" s="297"/>
    </row>
    <row r="50" spans="1:14">
      <c r="A50" s="327">
        <v>41639</v>
      </c>
      <c r="B50" s="331">
        <v>8.1627736169334426</v>
      </c>
      <c r="C50" s="331">
        <v>7.9815141439801991</v>
      </c>
      <c r="D50" s="326">
        <v>0.24090234644582501</v>
      </c>
      <c r="E50" s="330">
        <f>prinos!B50</f>
        <v>4.99</v>
      </c>
      <c r="F50" s="331">
        <v>8.1627736169334426</v>
      </c>
      <c r="G50" s="331">
        <v>7.9815141439801991</v>
      </c>
      <c r="H50" s="330">
        <f>prinos!N50</f>
        <v>4.99</v>
      </c>
      <c r="I50" s="331">
        <v>8.1627736169334426</v>
      </c>
      <c r="J50" s="331">
        <v>7.9815141439801991</v>
      </c>
      <c r="K50" s="330">
        <f>prinos!Z50</f>
        <v>4.99</v>
      </c>
      <c r="L50"/>
      <c r="M50"/>
      <c r="N50" s="297"/>
    </row>
    <row r="51" spans="1:14">
      <c r="A51" s="327">
        <v>41729</v>
      </c>
      <c r="B51" s="331">
        <v>8.1218224994627377</v>
      </c>
      <c r="C51" s="331">
        <v>8.0968661278290153</v>
      </c>
      <c r="D51" s="326">
        <v>0.29515959595959601</v>
      </c>
      <c r="E51" s="330">
        <f>prinos!B51</f>
        <v>5.1100000000000003</v>
      </c>
      <c r="F51" s="331">
        <v>8.1218224994627377</v>
      </c>
      <c r="G51" s="331">
        <v>8.0968661278290153</v>
      </c>
      <c r="H51" s="330">
        <f>prinos!N51</f>
        <v>5.1100000000000003</v>
      </c>
      <c r="I51" s="331">
        <v>8.1218224994627377</v>
      </c>
      <c r="J51" s="331">
        <v>8.0968661278290153</v>
      </c>
      <c r="K51" s="330">
        <f>prinos!Z51</f>
        <v>5.1100000000000003</v>
      </c>
      <c r="L51"/>
      <c r="M51"/>
      <c r="N51" s="297"/>
    </row>
    <row r="52" spans="1:14">
      <c r="A52" s="327">
        <v>41820</v>
      </c>
      <c r="B52" s="331">
        <v>8.1907738973199216</v>
      </c>
      <c r="C52" s="331">
        <v>8.0377235523691901</v>
      </c>
      <c r="D52" s="326">
        <v>0.29858333333333298</v>
      </c>
      <c r="E52" s="330">
        <f>prinos!B52</f>
        <v>4.41</v>
      </c>
      <c r="F52" s="331">
        <v>8.1907738973199216</v>
      </c>
      <c r="G52" s="331">
        <v>8.0377235523691901</v>
      </c>
      <c r="H52" s="330">
        <f>prinos!N52</f>
        <v>4.41</v>
      </c>
      <c r="I52" s="331">
        <v>8.1907738973199216</v>
      </c>
      <c r="J52" s="331">
        <v>8.0377235523691901</v>
      </c>
      <c r="K52" s="330">
        <f>prinos!Z52</f>
        <v>4.41</v>
      </c>
      <c r="L52"/>
      <c r="M52"/>
      <c r="N52" s="297"/>
    </row>
    <row r="53" spans="1:14">
      <c r="A53" s="327">
        <v>41912</v>
      </c>
      <c r="B53" s="331">
        <v>8.0539317359124123</v>
      </c>
      <c r="C53" s="331">
        <v>8.0905536577693375</v>
      </c>
      <c r="D53" s="326">
        <v>0.16456860530773601</v>
      </c>
      <c r="E53" s="330">
        <f>prinos!B53</f>
        <v>3.72</v>
      </c>
      <c r="F53" s="331">
        <v>8.0539317359124123</v>
      </c>
      <c r="G53" s="331">
        <v>8.0905536577693375</v>
      </c>
      <c r="H53" s="330">
        <f>prinos!N53</f>
        <v>3.72</v>
      </c>
      <c r="I53" s="331">
        <v>8.0539317359124123</v>
      </c>
      <c r="J53" s="331">
        <v>8.0905536577693375</v>
      </c>
      <c r="K53" s="330">
        <f>prinos!Z53</f>
        <v>3.72</v>
      </c>
      <c r="L53"/>
      <c r="M53"/>
      <c r="N53" s="297"/>
    </row>
    <row r="54" spans="1:14">
      <c r="A54" s="327">
        <v>42004</v>
      </c>
      <c r="B54" s="331">
        <v>7.9207029171446734</v>
      </c>
      <c r="C54" s="331">
        <v>7.4199699024953247</v>
      </c>
      <c r="D54" s="326">
        <v>8.1471152518978601E-2</v>
      </c>
      <c r="E54" s="330">
        <f>prinos!B54</f>
        <v>3.54</v>
      </c>
      <c r="F54" s="331">
        <v>7.9207029171446734</v>
      </c>
      <c r="G54" s="331">
        <v>7.4199699024953247</v>
      </c>
      <c r="H54" s="330">
        <f>prinos!N54</f>
        <v>3.54</v>
      </c>
      <c r="I54" s="331">
        <v>7.9207029171446734</v>
      </c>
      <c r="J54" s="331">
        <v>7.4199699024953247</v>
      </c>
      <c r="K54" s="330">
        <f>prinos!Z54</f>
        <v>3.54</v>
      </c>
      <c r="L54"/>
      <c r="M54"/>
      <c r="N54" s="297"/>
    </row>
    <row r="55" spans="1:14">
      <c r="A55" s="327">
        <v>42094</v>
      </c>
      <c r="B55" s="331">
        <v>7.7461153320346847</v>
      </c>
      <c r="C55" s="331">
        <v>7.7803689795146216</v>
      </c>
      <c r="D55" s="326">
        <v>4.6016161616161601E-2</v>
      </c>
      <c r="E55" s="330">
        <f>prinos!B55</f>
        <v>3.32</v>
      </c>
      <c r="F55" s="331">
        <v>7.7461153320346847</v>
      </c>
      <c r="G55" s="331">
        <v>7.7803689795146216</v>
      </c>
      <c r="H55" s="330">
        <f>prinos!N55</f>
        <v>3.32</v>
      </c>
      <c r="I55" s="331">
        <v>7.7461153320346847</v>
      </c>
      <c r="J55" s="331">
        <v>7.7803689795146216</v>
      </c>
      <c r="K55" s="330">
        <f>prinos!Z55</f>
        <v>3.32</v>
      </c>
      <c r="L55"/>
      <c r="M55"/>
      <c r="N55" s="297"/>
    </row>
    <row r="56" spans="1:14">
      <c r="A56" s="327">
        <v>42185</v>
      </c>
      <c r="B56" s="331">
        <v>7.8806741511939791</v>
      </c>
      <c r="C56" s="331">
        <v>7.4207007304054793</v>
      </c>
      <c r="D56" s="326">
        <v>-6.5258373205741701E-3</v>
      </c>
      <c r="E56" s="330">
        <f>prinos!B56</f>
        <v>3.17</v>
      </c>
      <c r="F56" s="331">
        <v>7.8806741511939791</v>
      </c>
      <c r="G56" s="331">
        <v>7.4207007304054793</v>
      </c>
      <c r="H56" s="330">
        <f>prinos!N56</f>
        <v>3.17</v>
      </c>
      <c r="I56" s="331">
        <v>7.8806741511939791</v>
      </c>
      <c r="J56" s="331">
        <v>7.4207007304054793</v>
      </c>
      <c r="K56" s="330">
        <f>prinos!Z56</f>
        <v>3.17</v>
      </c>
      <c r="L56"/>
      <c r="M56"/>
      <c r="N56" s="297"/>
    </row>
    <row r="57" spans="1:14">
      <c r="A57" s="327">
        <v>42277</v>
      </c>
      <c r="B57" s="331">
        <v>7.4572010065440582</v>
      </c>
      <c r="C57" s="331">
        <v>7.463197074229762</v>
      </c>
      <c r="D57" s="326">
        <v>-2.7817083882301301E-2</v>
      </c>
      <c r="E57" s="330">
        <f>prinos!B57</f>
        <v>4.2300000000000004</v>
      </c>
      <c r="F57" s="331">
        <v>7.4572010065440582</v>
      </c>
      <c r="G57" s="331">
        <v>7.463197074229762</v>
      </c>
      <c r="H57" s="330">
        <f>prinos!N57</f>
        <v>4.2300000000000004</v>
      </c>
      <c r="I57" s="331">
        <v>7.4572010065440582</v>
      </c>
      <c r="J57" s="331">
        <v>7.463197074229762</v>
      </c>
      <c r="K57" s="330">
        <f>prinos!Z57</f>
        <v>4.2300000000000004</v>
      </c>
      <c r="L57"/>
      <c r="M57"/>
      <c r="N57" s="297"/>
    </row>
    <row r="58" spans="1:14">
      <c r="A58" s="327">
        <v>42369</v>
      </c>
      <c r="B58" s="331">
        <v>7.3669886765019656</v>
      </c>
      <c r="C58" s="331">
        <v>6.1542007858131074</v>
      </c>
      <c r="D58" s="326">
        <v>-8.91760461760462E-2</v>
      </c>
      <c r="E58" s="330">
        <f>prinos!B58</f>
        <v>3.93</v>
      </c>
      <c r="F58" s="331">
        <v>7.3669886765019656</v>
      </c>
      <c r="G58" s="331">
        <v>6.1542007858131074</v>
      </c>
      <c r="H58" s="330">
        <f>prinos!N58</f>
        <v>3.93</v>
      </c>
      <c r="I58" s="331">
        <v>7.3669886765019656</v>
      </c>
      <c r="J58" s="331">
        <v>6.1542007858131074</v>
      </c>
      <c r="K58" s="330">
        <f>prinos!Z58</f>
        <v>3.93</v>
      </c>
      <c r="L58"/>
      <c r="M58"/>
      <c r="N58" s="297"/>
    </row>
    <row r="59" spans="1:14">
      <c r="A59" s="327">
        <v>42460</v>
      </c>
      <c r="B59" s="331">
        <v>6.7988516250244571</v>
      </c>
      <c r="C59" s="331">
        <v>6.6286284616258646</v>
      </c>
      <c r="D59" s="326">
        <v>-0.18608174603174599</v>
      </c>
      <c r="E59" s="330">
        <f>prinos!B59</f>
        <v>3.84</v>
      </c>
      <c r="F59" s="331">
        <v>6.7988516250244571</v>
      </c>
      <c r="G59" s="331">
        <v>6.6286284616258646</v>
      </c>
      <c r="H59" s="330">
        <f>prinos!N59</f>
        <v>3.84</v>
      </c>
      <c r="I59" s="331">
        <v>6.7988516250244571</v>
      </c>
      <c r="J59" s="331">
        <v>6.6286284616258646</v>
      </c>
      <c r="K59" s="330">
        <f>prinos!Z59</f>
        <v>3.84</v>
      </c>
      <c r="L59"/>
      <c r="M59"/>
      <c r="N59" s="297"/>
    </row>
    <row r="60" spans="1:14">
      <c r="A60" s="327">
        <v>42551</v>
      </c>
      <c r="B60" s="331">
        <v>6.8388510807878609</v>
      </c>
      <c r="C60" s="331">
        <v>6.4896024050653338</v>
      </c>
      <c r="D60" s="326">
        <v>-0.25809379509379499</v>
      </c>
      <c r="E60" s="330">
        <f>prinos!B60</f>
        <v>3.62</v>
      </c>
      <c r="F60" s="331">
        <v>6.8388510807878609</v>
      </c>
      <c r="G60" s="331">
        <v>6.4896024050653338</v>
      </c>
      <c r="H60" s="330">
        <f>prinos!N60</f>
        <v>3.62</v>
      </c>
      <c r="I60" s="331">
        <v>6.8388510807878609</v>
      </c>
      <c r="J60" s="331">
        <v>6.4896024050653338</v>
      </c>
      <c r="K60" s="330">
        <f>prinos!Z60</f>
        <v>3.62</v>
      </c>
      <c r="L60"/>
      <c r="M60"/>
      <c r="N60" s="297"/>
    </row>
    <row r="61" spans="1:14">
      <c r="A61" s="327">
        <v>42643</v>
      </c>
      <c r="B61" s="331">
        <v>6.6967794250920232</v>
      </c>
      <c r="C61" s="331">
        <v>6.3431531473707778</v>
      </c>
      <c r="D61" s="326">
        <v>-0.298125854821507</v>
      </c>
      <c r="E61" s="330">
        <f>prinos!B61</f>
        <v>3.75</v>
      </c>
      <c r="F61" s="331">
        <v>6.6967794250920232</v>
      </c>
      <c r="G61" s="331">
        <v>6.3431531473707778</v>
      </c>
      <c r="H61" s="330">
        <f>prinos!N61</f>
        <v>3.75</v>
      </c>
      <c r="I61" s="331">
        <v>6.6967794250920232</v>
      </c>
      <c r="J61" s="331">
        <v>6.3431531473707778</v>
      </c>
      <c r="K61" s="330">
        <f>prinos!Z61</f>
        <v>3.75</v>
      </c>
      <c r="L61"/>
      <c r="M61"/>
      <c r="N61" s="297"/>
    </row>
    <row r="62" spans="1:14">
      <c r="A62" s="327">
        <v>42735</v>
      </c>
      <c r="B62" s="331">
        <v>6.6976397205007254</v>
      </c>
      <c r="C62" s="331">
        <v>5.5566104476887261</v>
      </c>
      <c r="D62" s="326">
        <v>-0.31248124098124103</v>
      </c>
      <c r="E62" s="330">
        <f>prinos!B62</f>
        <v>3.07</v>
      </c>
      <c r="F62" s="331">
        <v>6.6976397205007254</v>
      </c>
      <c r="G62" s="331">
        <v>5.5566104476887261</v>
      </c>
      <c r="H62" s="330">
        <f>prinos!N62</f>
        <v>3.07</v>
      </c>
      <c r="I62" s="331">
        <v>6.6976397205007254</v>
      </c>
      <c r="J62" s="331">
        <v>5.5566104476887261</v>
      </c>
      <c r="K62" s="330">
        <f>prinos!Z62</f>
        <v>3.07</v>
      </c>
      <c r="L62"/>
      <c r="M62"/>
      <c r="N62" s="297"/>
    </row>
    <row r="63" spans="1:14">
      <c r="A63" s="327">
        <v>42825</v>
      </c>
      <c r="B63" s="331">
        <v>6.7756154459704083</v>
      </c>
      <c r="C63" s="331">
        <v>5.5575043771093888</v>
      </c>
      <c r="D63" s="326">
        <v>-0.32783109354413698</v>
      </c>
      <c r="E63" s="330">
        <f>prinos!B63</f>
        <v>2.8</v>
      </c>
      <c r="F63" s="331">
        <v>6.7756154459704083</v>
      </c>
      <c r="G63" s="331">
        <v>5.5575043771093888</v>
      </c>
      <c r="H63" s="330">
        <f>prinos!N63</f>
        <v>2.8</v>
      </c>
      <c r="I63" s="331">
        <v>6.7756154459704083</v>
      </c>
      <c r="J63" s="331">
        <v>5.5575043771093888</v>
      </c>
      <c r="K63" s="330">
        <f>prinos!Z63</f>
        <v>2.8</v>
      </c>
      <c r="L63"/>
      <c r="M63"/>
      <c r="N63" s="297"/>
    </row>
    <row r="64" spans="1:14">
      <c r="A64" s="327">
        <v>42916</v>
      </c>
      <c r="B64" s="331">
        <v>6.779869405942156</v>
      </c>
      <c r="C64" s="331">
        <v>5.7143864203134358</v>
      </c>
      <c r="D64" s="326">
        <v>-0.32994781144781099</v>
      </c>
      <c r="E64" s="330">
        <f>prinos!B64</f>
        <v>2.98</v>
      </c>
      <c r="F64" s="331">
        <v>6.779869405942156</v>
      </c>
      <c r="G64" s="331">
        <v>5.7143864203134358</v>
      </c>
      <c r="H64" s="330">
        <f>prinos!N64</f>
        <v>2.98</v>
      </c>
      <c r="I64" s="331">
        <v>6.779869405942156</v>
      </c>
      <c r="J64" s="331">
        <v>5.7143864203134358</v>
      </c>
      <c r="K64" s="330">
        <f>prinos!Z64</f>
        <v>2.98</v>
      </c>
      <c r="L64"/>
      <c r="M64"/>
      <c r="N64" s="297"/>
    </row>
    <row r="65" spans="1:14">
      <c r="A65" s="327">
        <v>43008</v>
      </c>
      <c r="B65" s="331">
        <v>6.7475239428247615</v>
      </c>
      <c r="C65" s="331">
        <v>5.9364190836570652</v>
      </c>
      <c r="D65" s="326">
        <v>-0.32963216011042101</v>
      </c>
      <c r="E65" s="330">
        <f>prinos!B65</f>
        <v>2.78</v>
      </c>
      <c r="F65" s="331">
        <v>6.7475239428247615</v>
      </c>
      <c r="G65" s="331">
        <v>5.9364190836570652</v>
      </c>
      <c r="H65" s="330">
        <f>prinos!N65</f>
        <v>2.78</v>
      </c>
      <c r="I65" s="331">
        <v>6.7475239428247615</v>
      </c>
      <c r="J65" s="331">
        <v>5.9364190836570652</v>
      </c>
      <c r="K65" s="330">
        <f>prinos!Z65</f>
        <v>2.78</v>
      </c>
      <c r="L65"/>
      <c r="M65"/>
      <c r="N65" s="297"/>
    </row>
    <row r="66" spans="1:14">
      <c r="A66" s="327">
        <v>43100</v>
      </c>
      <c r="B66" s="331">
        <v>6.0833202722275148</v>
      </c>
      <c r="C66" s="331">
        <v>4.6785761835220567</v>
      </c>
      <c r="D66" s="326">
        <v>-0.328813397129187</v>
      </c>
      <c r="E66" s="330">
        <f>prinos!B66</f>
        <v>2.66</v>
      </c>
      <c r="F66" s="331">
        <v>6.0833202722275148</v>
      </c>
      <c r="G66" s="331">
        <v>4.6785761835220567</v>
      </c>
      <c r="H66" s="330">
        <f>prinos!N66</f>
        <v>2.66</v>
      </c>
      <c r="I66" s="331">
        <v>6.0833202722275148</v>
      </c>
      <c r="J66" s="331">
        <v>4.6785761835220567</v>
      </c>
      <c r="K66" s="330">
        <f>prinos!Z66</f>
        <v>2.66</v>
      </c>
      <c r="L66"/>
      <c r="M66"/>
      <c r="N66" s="297"/>
    </row>
    <row r="67" spans="1:14">
      <c r="A67" s="327">
        <v>43190</v>
      </c>
      <c r="B67" s="331">
        <v>5.9295090792082945</v>
      </c>
      <c r="C67" s="331">
        <v>5.2541416779102459</v>
      </c>
      <c r="D67" s="326">
        <v>-0.32828643578643601</v>
      </c>
      <c r="E67" s="330">
        <f>prinos!B67</f>
        <v>2.35</v>
      </c>
      <c r="F67" s="331">
        <v>5.9295090792082945</v>
      </c>
      <c r="G67" s="331">
        <v>5.2541416779102459</v>
      </c>
      <c r="H67" s="330">
        <f>prinos!N67</f>
        <v>2.35</v>
      </c>
      <c r="I67" s="331">
        <v>5.9295090792082945</v>
      </c>
      <c r="J67" s="331">
        <v>5.2541416779102459</v>
      </c>
      <c r="K67" s="330">
        <f>prinos!Z67</f>
        <v>2.35</v>
      </c>
      <c r="L67"/>
      <c r="M67"/>
      <c r="N67" s="297"/>
    </row>
    <row r="68" spans="1:14">
      <c r="A68" s="327">
        <v>43281</v>
      </c>
      <c r="B68" s="331">
        <v>6.1886260215069404</v>
      </c>
      <c r="C68" s="331">
        <v>5.046486473771731</v>
      </c>
      <c r="D68" s="326">
        <v>-0.32524163059163103</v>
      </c>
      <c r="E68" s="330">
        <f>prinos!B68</f>
        <v>2.12</v>
      </c>
      <c r="F68" s="331">
        <v>6.1886260215069404</v>
      </c>
      <c r="G68" s="331">
        <v>5.046486473771731</v>
      </c>
      <c r="H68" s="330">
        <f>prinos!N68</f>
        <v>2.12</v>
      </c>
      <c r="I68" s="331">
        <v>6.1886260215069404</v>
      </c>
      <c r="J68" s="331">
        <v>5.046486473771731</v>
      </c>
      <c r="K68" s="330">
        <f>prinos!Z68</f>
        <v>2.12</v>
      </c>
      <c r="L68"/>
      <c r="M68"/>
      <c r="N68" s="297"/>
    </row>
    <row r="69" spans="1:14">
      <c r="A69" s="327">
        <v>43373</v>
      </c>
      <c r="B69" s="331">
        <v>5.8871190102159723</v>
      </c>
      <c r="C69" s="331">
        <v>4.7830686151030966</v>
      </c>
      <c r="D69" s="326">
        <v>-0.31952575757575802</v>
      </c>
      <c r="E69" s="330">
        <f>prinos!B69</f>
        <v>2.2599999999999998</v>
      </c>
      <c r="F69" s="331">
        <v>5.8871190102159723</v>
      </c>
      <c r="G69" s="331">
        <v>4.7830686151030966</v>
      </c>
      <c r="H69" s="330">
        <f>prinos!N69</f>
        <v>2.2599999999999998</v>
      </c>
      <c r="I69" s="331">
        <v>5.8871190102159723</v>
      </c>
      <c r="J69" s="331">
        <v>4.7830686151030966</v>
      </c>
      <c r="K69" s="330">
        <f>prinos!Z69</f>
        <v>2.2599999999999998</v>
      </c>
      <c r="L69"/>
      <c r="M69"/>
      <c r="N69" s="297"/>
    </row>
    <row r="70" spans="1:14">
      <c r="A70" s="327">
        <v>43465</v>
      </c>
      <c r="B70" s="331">
        <v>5.7731940247603148</v>
      </c>
      <c r="C70" s="331">
        <v>4.7195912536756222</v>
      </c>
      <c r="D70" s="326">
        <v>-0.315318008459885</v>
      </c>
      <c r="E70" s="330">
        <f>prinos!B70</f>
        <v>2.09</v>
      </c>
      <c r="F70" s="331">
        <v>5.7731940247603148</v>
      </c>
      <c r="G70" s="331">
        <v>4.7195912536756222</v>
      </c>
      <c r="H70" s="330">
        <f>prinos!N70</f>
        <v>2.09</v>
      </c>
      <c r="I70" s="331">
        <v>5.7731940247603148</v>
      </c>
      <c r="J70" s="331">
        <v>4.7195912536756222</v>
      </c>
      <c r="K70" s="330">
        <f>prinos!Z70</f>
        <v>2.09</v>
      </c>
      <c r="L70"/>
      <c r="M70"/>
      <c r="N70" s="297"/>
    </row>
    <row r="71" spans="1:14">
      <c r="A71" s="327">
        <v>43555</v>
      </c>
      <c r="B71" s="331">
        <v>5.7477218100096588</v>
      </c>
      <c r="C71" s="331">
        <v>4.8871524907366499</v>
      </c>
      <c r="D71" s="326">
        <v>-0.30854682539682499</v>
      </c>
      <c r="E71" s="330">
        <f>prinos!B71</f>
        <v>2.23</v>
      </c>
      <c r="F71" s="331">
        <v>5.7477218100096588</v>
      </c>
      <c r="G71" s="331">
        <v>4.8871524907366499</v>
      </c>
      <c r="H71" s="330">
        <f>prinos!N71</f>
        <v>2.23</v>
      </c>
      <c r="I71" s="331">
        <v>5.7477218100096588</v>
      </c>
      <c r="J71" s="331">
        <v>4.8871524907366499</v>
      </c>
      <c r="K71" s="330">
        <f>prinos!Z71</f>
        <v>2.23</v>
      </c>
      <c r="L71"/>
      <c r="M71"/>
      <c r="N71" s="297"/>
    </row>
    <row r="72" spans="1:14">
      <c r="A72" s="327">
        <v>43646</v>
      </c>
      <c r="B72" s="331">
        <v>5.7674461642034434</v>
      </c>
      <c r="C72" s="331">
        <v>4.4718246634376211</v>
      </c>
      <c r="D72" s="326">
        <v>-0.31707121212121198</v>
      </c>
      <c r="E72" s="330">
        <f>prinos!B72</f>
        <v>1.82</v>
      </c>
      <c r="F72" s="331">
        <v>5.7674461642034434</v>
      </c>
      <c r="G72" s="331">
        <v>4.4718246634376211</v>
      </c>
      <c r="H72" s="330">
        <f>prinos!N72</f>
        <v>1.82</v>
      </c>
      <c r="I72" s="331">
        <v>5.7674461642034434</v>
      </c>
      <c r="J72" s="331">
        <v>4.4718246634376211</v>
      </c>
      <c r="K72" s="330">
        <f>prinos!Z72</f>
        <v>1.82</v>
      </c>
      <c r="L72"/>
      <c r="M72"/>
      <c r="N72" s="297"/>
    </row>
    <row r="73" spans="1:14">
      <c r="A73" s="327">
        <v>43738</v>
      </c>
      <c r="B73" s="331">
        <v>5.6000556649403119</v>
      </c>
      <c r="C73" s="331">
        <v>4.5288650329364533</v>
      </c>
      <c r="D73" s="326">
        <v>-0.39670760399021299</v>
      </c>
      <c r="E73" s="330">
        <f>prinos!B73</f>
        <v>1.06</v>
      </c>
      <c r="F73" s="331">
        <v>5.6000556649403119</v>
      </c>
      <c r="G73" s="331">
        <v>4.5288650329364533</v>
      </c>
      <c r="H73" s="330">
        <f>prinos!N73</f>
        <v>1.06</v>
      </c>
      <c r="I73" s="331">
        <v>5.6000556649403119</v>
      </c>
      <c r="J73" s="331">
        <v>4.5288650329364533</v>
      </c>
      <c r="K73" s="330">
        <f>prinos!Z73</f>
        <v>1.06</v>
      </c>
      <c r="L73"/>
      <c r="M73"/>
      <c r="N73" s="297"/>
    </row>
    <row r="74" spans="1:14">
      <c r="A74" s="327">
        <v>43830</v>
      </c>
      <c r="B74" s="331">
        <v>5.3034085089182215</v>
      </c>
      <c r="C74" s="331">
        <v>3.8212305193457872</v>
      </c>
      <c r="D74" s="326">
        <v>-0.40295175983436798</v>
      </c>
      <c r="E74" s="330">
        <f>prinos!B74</f>
        <v>0.47</v>
      </c>
      <c r="F74" s="331">
        <v>5.3034085089182215</v>
      </c>
      <c r="G74" s="331">
        <v>3.8212305193457872</v>
      </c>
      <c r="H74" s="330">
        <f>prinos!N74</f>
        <v>0.47</v>
      </c>
      <c r="I74" s="331">
        <v>5.3034085089182215</v>
      </c>
      <c r="J74" s="331">
        <v>3.8212305193457872</v>
      </c>
      <c r="K74" s="330">
        <f>prinos!Z74</f>
        <v>0.47</v>
      </c>
      <c r="L74"/>
      <c r="M74"/>
      <c r="N74" s="297"/>
    </row>
    <row r="75" spans="1:14">
      <c r="A75" s="328">
        <v>43921</v>
      </c>
      <c r="B75" s="332">
        <f>$B$84+$B$85*B74+$B$86*E75+$B$87*D75</f>
        <v>5.20691282065573</v>
      </c>
      <c r="C75" s="337">
        <v>4.2570667075673647</v>
      </c>
      <c r="D75" s="326">
        <v>-0.40554090909090901</v>
      </c>
      <c r="E75" s="329">
        <f>prinos!B75</f>
        <v>0.83474351605515917</v>
      </c>
      <c r="F75" s="332">
        <f>$B$84+$B$85*F74+$B$86*H75+$B$87*D75</f>
        <v>5.2008181018452655</v>
      </c>
      <c r="G75" s="337">
        <v>4.2570667075673647</v>
      </c>
      <c r="H75" s="329">
        <f>prinos!N75</f>
        <v>0.80861620088190755</v>
      </c>
      <c r="I75" s="332">
        <f>$B$84+$B$85*I74+$B$86*K75+$B$87*D75</f>
        <v>5.1937198994640852</v>
      </c>
      <c r="J75" s="337">
        <v>4.2570667075673647</v>
      </c>
      <c r="K75" s="329">
        <f>prinos!Z75</f>
        <v>0.77818707419960975</v>
      </c>
      <c r="L75"/>
      <c r="M75"/>
      <c r="N75" s="297"/>
    </row>
    <row r="76" spans="1:14">
      <c r="A76" s="328">
        <v>44012</v>
      </c>
      <c r="B76" s="332">
        <f>$B$84+$B$85*B75+$B$86*E76+$B$87*D76</f>
        <v>5.2821819371730836</v>
      </c>
      <c r="C76" s="332">
        <f t="shared" ref="C76:C78" si="0">$B$90+$B$91*B75+$B$92*C75</f>
        <v>4.1981528965239274</v>
      </c>
      <c r="D76" s="329">
        <f>$D$75</f>
        <v>-0.40554090909090901</v>
      </c>
      <c r="E76" s="329">
        <f>prinos!B76</f>
        <v>1.4315903403263193</v>
      </c>
      <c r="F76" s="332">
        <f t="shared" ref="F76:F78" si="1">$B$84+$B$85*F75+$B$86*H76+$B$87*D76</f>
        <v>5.25835448851047</v>
      </c>
      <c r="G76" s="332">
        <f t="shared" ref="G76:G78" si="2">$B$90+$B$91*F75+$B$92*G75</f>
        <v>4.1965596760796844</v>
      </c>
      <c r="H76" s="329">
        <f>prinos!N76</f>
        <v>1.3467621625278987</v>
      </c>
      <c r="I76" s="332">
        <f t="shared" ref="I76:I78" si="3">$B$84+$B$85*I75+$B$86*K76+$B$87*D76</f>
        <v>5.2305409387413366</v>
      </c>
      <c r="J76" s="332">
        <f t="shared" ref="J76:J78" si="4">$B$90+$B$91*I75+$B$92*J75</f>
        <v>4.1947041349952201</v>
      </c>
      <c r="K76" s="329">
        <f>prinos!Z76</f>
        <v>1.2476972967891076</v>
      </c>
      <c r="L76"/>
      <c r="M76"/>
      <c r="N76" s="297"/>
    </row>
    <row r="77" spans="1:14">
      <c r="A77" s="328">
        <v>44104</v>
      </c>
      <c r="B77" s="332">
        <f>$B$84+$B$85*B76+$B$86*E77+$B$87*D77</f>
        <v>5.3830466462985465</v>
      </c>
      <c r="C77" s="332">
        <f t="shared" si="0"/>
        <v>4.1754670204419462</v>
      </c>
      <c r="D77" s="329">
        <f>$D$75</f>
        <v>-0.40554090909090901</v>
      </c>
      <c r="E77" s="329">
        <f>prinos!B77</f>
        <v>1.6501196784227776</v>
      </c>
      <c r="F77" s="332">
        <f t="shared" si="1"/>
        <v>5.3462286031006112</v>
      </c>
      <c r="G77" s="332">
        <f t="shared" si="2"/>
        <v>4.1680926819266189</v>
      </c>
      <c r="H77" s="329">
        <f>prinos!N77</f>
        <v>1.559987170066129</v>
      </c>
      <c r="I77" s="332">
        <f t="shared" si="3"/>
        <v>5.3025006809276203</v>
      </c>
      <c r="J77" s="332">
        <f t="shared" si="4"/>
        <v>4.1594877150646852</v>
      </c>
      <c r="K77" s="329">
        <f>prinos!Z77</f>
        <v>1.4515587335504649</v>
      </c>
      <c r="L77"/>
      <c r="M77"/>
      <c r="N77" s="297"/>
    </row>
    <row r="78" spans="1:14">
      <c r="A78" s="328">
        <v>44196</v>
      </c>
      <c r="B78" s="332">
        <f>$B$84+$B$85*B77+$B$86*E78+$B$87*D78</f>
        <v>5.4512056815907179</v>
      </c>
      <c r="C78" s="332">
        <f t="shared" si="0"/>
        <v>4.1855217848576842</v>
      </c>
      <c r="D78" s="329">
        <f>$D$75</f>
        <v>-0.40554090909090901</v>
      </c>
      <c r="E78" s="329">
        <f>prinos!B78</f>
        <v>1.6557179383096645</v>
      </c>
      <c r="F78" s="332">
        <f t="shared" si="1"/>
        <v>5.4111701935805394</v>
      </c>
      <c r="G78" s="332">
        <f t="shared" si="2"/>
        <v>4.1705946620758656</v>
      </c>
      <c r="H78" s="329">
        <f>prinos!N78</f>
        <v>1.5887033673035931</v>
      </c>
      <c r="I78" s="332">
        <f t="shared" si="3"/>
        <v>5.3636380149650025</v>
      </c>
      <c r="J78" s="332">
        <f t="shared" si="4"/>
        <v>4.1529763445185512</v>
      </c>
      <c r="K78" s="329">
        <f>prinos!Z78</f>
        <v>1.5091847331059736</v>
      </c>
      <c r="L78"/>
      <c r="M78"/>
      <c r="N78" s="297"/>
    </row>
    <row r="79" spans="1:14">
      <c r="G79" s="305"/>
      <c r="H79"/>
      <c r="I79" s="305"/>
      <c r="J79" s="305"/>
      <c r="K79"/>
      <c r="L79"/>
      <c r="M79"/>
      <c r="N79" s="297"/>
    </row>
    <row r="80" spans="1:14">
      <c r="G80" s="305"/>
      <c r="H80"/>
      <c r="I80" s="305"/>
      <c r="J80" s="305"/>
      <c r="K80"/>
      <c r="L80"/>
      <c r="M80"/>
      <c r="N80" s="297"/>
    </row>
    <row r="81" spans="1:14">
      <c r="G81" s="305"/>
      <c r="H81"/>
      <c r="I81" s="305"/>
      <c r="J81" s="305"/>
      <c r="K81"/>
      <c r="L81"/>
      <c r="M81"/>
      <c r="N81" s="297"/>
    </row>
    <row r="82" spans="1:14">
      <c r="N82" s="297"/>
    </row>
    <row r="83" spans="1:14" ht="14.4">
      <c r="A83" s="324" t="s">
        <v>1002</v>
      </c>
      <c r="B83" s="109" t="s">
        <v>185</v>
      </c>
      <c r="C83" s="109" t="s">
        <v>186</v>
      </c>
      <c r="D83" s="109" t="s">
        <v>187</v>
      </c>
      <c r="E83" s="109" t="s">
        <v>188</v>
      </c>
      <c r="F83" s="109"/>
      <c r="G83" s="334"/>
      <c r="I83" s="334"/>
      <c r="J83" s="334"/>
      <c r="N83" s="297"/>
    </row>
    <row r="84" spans="1:14" ht="14.4">
      <c r="A84" s="109" t="s">
        <v>192</v>
      </c>
      <c r="B84" s="323">
        <v>1.53976</v>
      </c>
      <c r="C84" s="323">
        <v>0.41513</v>
      </c>
      <c r="D84" s="323">
        <v>3.944</v>
      </c>
      <c r="E84" s="323">
        <v>2.3599999999999999E-4</v>
      </c>
      <c r="F84" s="323" t="s">
        <v>194</v>
      </c>
      <c r="G84" s="335"/>
      <c r="I84" s="335"/>
      <c r="J84" s="335"/>
      <c r="N84" s="297"/>
    </row>
    <row r="85" spans="1:14" ht="14.4">
      <c r="A85" s="109" t="s">
        <v>1006</v>
      </c>
      <c r="B85" s="323">
        <v>0.66279999999999994</v>
      </c>
      <c r="C85" s="323">
        <v>7.6740000000000003E-2</v>
      </c>
      <c r="D85" s="323">
        <v>8.3490000000000002</v>
      </c>
      <c r="E85" s="323">
        <v>3.1100000000000001E-11</v>
      </c>
      <c r="F85" s="323" t="s">
        <v>194</v>
      </c>
      <c r="G85" s="335"/>
      <c r="I85" s="335"/>
      <c r="J85" s="335"/>
      <c r="N85" s="297"/>
    </row>
    <row r="86" spans="1:14" ht="14.4">
      <c r="A86" s="109" t="s">
        <v>1001</v>
      </c>
      <c r="B86" s="323">
        <v>0.23327000000000001</v>
      </c>
      <c r="C86" s="323">
        <v>5.8450000000000002E-2</v>
      </c>
      <c r="D86" s="323">
        <v>4.4690000000000003</v>
      </c>
      <c r="E86" s="323">
        <v>4.1699999999999997E-5</v>
      </c>
      <c r="F86" s="323" t="s">
        <v>194</v>
      </c>
      <c r="G86" s="335"/>
      <c r="I86" s="335"/>
      <c r="J86" s="335"/>
      <c r="N86" s="297"/>
    </row>
    <row r="87" spans="1:14" ht="14.4">
      <c r="A87" s="109" t="s">
        <v>977</v>
      </c>
      <c r="B87" s="323">
        <v>0.10521</v>
      </c>
      <c r="C87" s="323">
        <v>3.1199999999999999E-2</v>
      </c>
      <c r="D87" s="323">
        <v>2.3860000000000001</v>
      </c>
      <c r="E87" s="323">
        <v>2.0641E-2</v>
      </c>
      <c r="F87" s="323" t="s">
        <v>799</v>
      </c>
      <c r="G87" s="335"/>
      <c r="I87" s="335"/>
      <c r="J87" s="335"/>
      <c r="N87" s="297"/>
    </row>
    <row r="88" spans="1:14">
      <c r="N88" s="297"/>
    </row>
    <row r="89" spans="1:14" ht="14.4">
      <c r="A89" s="324" t="s">
        <v>1003</v>
      </c>
      <c r="B89" s="109" t="s">
        <v>185</v>
      </c>
      <c r="C89" s="109" t="s">
        <v>186</v>
      </c>
      <c r="D89" s="109" t="s">
        <v>187</v>
      </c>
      <c r="E89" s="109" t="s">
        <v>188</v>
      </c>
      <c r="F89" s="109"/>
      <c r="G89" s="334"/>
      <c r="I89" s="334"/>
      <c r="J89" s="334"/>
      <c r="N89" s="297"/>
    </row>
    <row r="90" spans="1:14" ht="14.4">
      <c r="A90" s="109" t="s">
        <v>192</v>
      </c>
      <c r="B90" s="323">
        <v>-0.22403000000000001</v>
      </c>
      <c r="C90" s="323">
        <v>0.36978</v>
      </c>
      <c r="D90" s="323">
        <v>-0.60599999999999998</v>
      </c>
      <c r="E90" s="323">
        <v>0.54720000000000002</v>
      </c>
      <c r="F90" s="323"/>
      <c r="G90" s="335"/>
      <c r="I90" s="335"/>
      <c r="J90" s="335"/>
      <c r="N90" s="297"/>
    </row>
    <row r="91" spans="1:14" ht="14.4">
      <c r="A91" s="109" t="s">
        <v>1006</v>
      </c>
      <c r="B91" s="323">
        <v>0.26140999999999998</v>
      </c>
      <c r="C91" s="323">
        <v>7.7280000000000001E-2</v>
      </c>
      <c r="D91" s="323">
        <v>3.383</v>
      </c>
      <c r="E91" s="323">
        <v>1.3600000000000001E-3</v>
      </c>
      <c r="F91" s="323" t="s">
        <v>815</v>
      </c>
      <c r="G91" s="335"/>
      <c r="I91" s="335"/>
      <c r="J91" s="335"/>
      <c r="N91" s="297"/>
    </row>
    <row r="92" spans="1:14" ht="14.4">
      <c r="A92" s="109" t="s">
        <v>1007</v>
      </c>
      <c r="B92" s="323">
        <v>0.71904999999999997</v>
      </c>
      <c r="C92" s="323">
        <v>9.1649999999999995E-2</v>
      </c>
      <c r="D92" s="323">
        <v>7.8449999999999998</v>
      </c>
      <c r="E92" s="323">
        <v>1.9799999999999999E-10</v>
      </c>
      <c r="F92" s="323" t="s">
        <v>194</v>
      </c>
      <c r="G92" s="335"/>
      <c r="I92" s="335"/>
      <c r="J92" s="335"/>
      <c r="N92" s="297"/>
    </row>
    <row r="93" spans="1:14">
      <c r="N93" s="297"/>
    </row>
    <row r="94" spans="1:14">
      <c r="N94" s="297"/>
    </row>
    <row r="95" spans="1:14">
      <c r="N95" s="297"/>
    </row>
    <row r="96" spans="1:14">
      <c r="N96" s="297"/>
    </row>
    <row r="97" spans="5:14">
      <c r="N97" s="297"/>
    </row>
    <row r="98" spans="5:14">
      <c r="H98" s="336"/>
      <c r="I98" s="336"/>
      <c r="J98" s="336"/>
      <c r="N98" s="297"/>
    </row>
    <row r="99" spans="5:14">
      <c r="E99" s="296"/>
      <c r="F99" s="296"/>
      <c r="G99" s="336"/>
      <c r="N99" s="297"/>
    </row>
    <row r="100" spans="5:14">
      <c r="N100" s="297"/>
    </row>
    <row r="101" spans="5:14">
      <c r="N101" s="297"/>
    </row>
    <row r="102" spans="5:14">
      <c r="N102" s="297"/>
    </row>
    <row r="103" spans="5:14">
      <c r="N103" s="297"/>
    </row>
    <row r="104" spans="5:14">
      <c r="N104" s="297"/>
    </row>
    <row r="105" spans="5:14">
      <c r="N105" s="297"/>
    </row>
    <row r="106" spans="5:14">
      <c r="N106" s="297"/>
    </row>
    <row r="107" spans="5:14">
      <c r="N107" s="297"/>
    </row>
    <row r="108" spans="5:14">
      <c r="N108" s="297"/>
    </row>
  </sheetData>
  <mergeCells count="3">
    <mergeCell ref="B1:E1"/>
    <mergeCell ref="F1:H1"/>
    <mergeCell ref="I1:K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N98"/>
  <sheetViews>
    <sheetView topLeftCell="A72" workbookViewId="0">
      <selection activeCell="E83" sqref="E83"/>
    </sheetView>
  </sheetViews>
  <sheetFormatPr defaultRowHeight="11.4"/>
  <cols>
    <col min="1" max="1" width="8.796875" style="306"/>
    <col min="2" max="2" width="9.09765625" style="306" bestFit="1" customWidth="1"/>
    <col min="3" max="3" width="8.8984375" style="306" bestFit="1" customWidth="1"/>
    <col min="4" max="4" width="9.19921875" style="306" bestFit="1" customWidth="1"/>
    <col min="5" max="5" width="8.8984375" style="306" bestFit="1" customWidth="1"/>
    <col min="6" max="16384" width="8.796875" style="306"/>
  </cols>
  <sheetData>
    <row r="1" spans="1:14" ht="12">
      <c r="A1" s="306" t="s">
        <v>9</v>
      </c>
      <c r="B1" s="306" t="s">
        <v>968</v>
      </c>
      <c r="C1" s="306" t="s">
        <v>969</v>
      </c>
      <c r="D1" s="306" t="s">
        <v>970</v>
      </c>
      <c r="E1" s="315" t="s">
        <v>971</v>
      </c>
    </row>
    <row r="2" spans="1:14" ht="12">
      <c r="A2" s="307">
        <v>36616</v>
      </c>
      <c r="E2" s="315"/>
      <c r="F2" s="307"/>
    </row>
    <row r="3" spans="1:14" ht="12">
      <c r="A3" s="307">
        <v>36707</v>
      </c>
      <c r="E3" s="322">
        <v>7.69210483870968</v>
      </c>
      <c r="F3" s="307"/>
      <c r="N3" s="307"/>
    </row>
    <row r="4" spans="1:14" ht="12">
      <c r="A4" s="307">
        <v>36799</v>
      </c>
      <c r="E4" s="322">
        <v>7.5752415384615404</v>
      </c>
      <c r="F4" s="307"/>
      <c r="N4" s="307"/>
    </row>
    <row r="5" spans="1:14" ht="12">
      <c r="A5" s="307">
        <v>36891</v>
      </c>
      <c r="B5" s="309">
        <f>SUM(vanjski_sektor!K3:K6)/1000</f>
        <v>0.67727361538637554</v>
      </c>
      <c r="C5" s="308">
        <f>SUM(vanjski_sektor!S3:S6)/1000</f>
        <v>-0.3377432708046274</v>
      </c>
      <c r="D5" s="308">
        <f>(SUM(vanjski_sektor!T3:T6)-SUM(vanjski_sektor!K3:K6))/1000</f>
        <v>-3.3053003761833648</v>
      </c>
      <c r="E5" s="322">
        <v>7.5630158730158703</v>
      </c>
      <c r="F5" s="307"/>
      <c r="N5" s="307"/>
    </row>
    <row r="6" spans="1:14" ht="12">
      <c r="A6" s="307">
        <v>36981</v>
      </c>
      <c r="B6" s="309">
        <f>SUM(vanjski_sektor!K4:K7)/1000</f>
        <v>0.84449923674562588</v>
      </c>
      <c r="C6" s="308">
        <f>SUM(vanjski_sektor!S4:S7)/1000</f>
        <v>-0.58259252907869952</v>
      </c>
      <c r="D6" s="308">
        <f>(SUM(vanjski_sektor!T4:T7)-SUM(vanjski_sektor!K4:K7))/1000</f>
        <v>-3.7218953201676195</v>
      </c>
      <c r="E6" s="322">
        <v>7.6850937500000001</v>
      </c>
      <c r="F6" s="307"/>
      <c r="N6" s="307"/>
    </row>
    <row r="7" spans="1:14" ht="12">
      <c r="A7" s="307">
        <v>37072</v>
      </c>
      <c r="B7" s="309">
        <f>SUM(vanjski_sektor!K5:K8)/1000</f>
        <v>0.93708952847828242</v>
      </c>
      <c r="C7" s="308">
        <f>SUM(vanjski_sektor!S5:S8)/1000</f>
        <v>-1.1170641546131732</v>
      </c>
      <c r="D7" s="308">
        <f>(SUM(vanjski_sektor!T5:T8)-SUM(vanjski_sektor!K5:K8))/1000</f>
        <v>-4.0408269290270376</v>
      </c>
      <c r="E7" s="322">
        <v>7.4129322580645196</v>
      </c>
      <c r="F7" s="307"/>
      <c r="N7" s="307"/>
    </row>
    <row r="8" spans="1:14" ht="12">
      <c r="A8" s="307">
        <v>37164</v>
      </c>
      <c r="B8" s="309">
        <f>SUM(vanjski_sektor!K6:K9)/1000</f>
        <v>1.124809554567229</v>
      </c>
      <c r="C8" s="308">
        <f>SUM(vanjski_sektor!S6:S9)/1000</f>
        <v>-0.6657073693945067</v>
      </c>
      <c r="D8" s="308">
        <f>(SUM(vanjski_sektor!T6:T9)-SUM(vanjski_sektor!K6:K9))/1000</f>
        <v>-2.9531449996992141</v>
      </c>
      <c r="E8" s="322">
        <v>7.40759230769231</v>
      </c>
      <c r="F8" s="307"/>
      <c r="N8" s="307"/>
    </row>
    <row r="9" spans="1:14" ht="12">
      <c r="A9" s="307">
        <v>37256</v>
      </c>
      <c r="B9" s="309">
        <f>SUM(vanjski_sektor!K7:K10)/1000</f>
        <v>1.5489828212502661</v>
      </c>
      <c r="C9" s="308">
        <f>SUM(vanjski_sektor!S7:S10)/1000</f>
        <v>-0.56092868767653636</v>
      </c>
      <c r="D9" s="308">
        <f>(SUM(vanjski_sektor!T7:T10)-SUM(vanjski_sektor!K7:K10))/1000</f>
        <v>-3.5560296329897514</v>
      </c>
      <c r="E9" s="322">
        <v>7.4203238095238104</v>
      </c>
      <c r="F9" s="307"/>
      <c r="N9" s="307"/>
    </row>
    <row r="10" spans="1:14" ht="12">
      <c r="A10" s="307">
        <v>37346</v>
      </c>
      <c r="B10" s="309">
        <f>SUM(vanjski_sektor!K8:K11)/1000</f>
        <v>1.6484544313248879</v>
      </c>
      <c r="C10" s="308">
        <f>SUM(vanjski_sektor!S8:S11)/1000</f>
        <v>-0.88412060843671225</v>
      </c>
      <c r="D10" s="308">
        <f>(SUM(vanjski_sektor!T8:T11)-SUM(vanjski_sektor!K8:K11))/1000</f>
        <v>-4.4400511923356554</v>
      </c>
      <c r="E10" s="322">
        <v>7.4699677419354904</v>
      </c>
      <c r="F10" s="307"/>
      <c r="N10" s="307"/>
    </row>
    <row r="11" spans="1:14" ht="12">
      <c r="A11" s="307">
        <v>37437</v>
      </c>
      <c r="B11" s="309">
        <f>SUM(vanjski_sektor!K9:K12)/1000</f>
        <v>1.4939809081800617</v>
      </c>
      <c r="C11" s="308">
        <f>SUM(vanjski_sektor!S9:S12)/1000</f>
        <v>-0.90359918053366806</v>
      </c>
      <c r="D11" s="308">
        <f>(SUM(vanjski_sektor!T9:T12)-SUM(vanjski_sektor!K9:K12))/1000</f>
        <v>-3.5231033864105461</v>
      </c>
      <c r="E11" s="322">
        <v>7.3732634920634901</v>
      </c>
      <c r="F11" s="307"/>
      <c r="N11" s="307"/>
    </row>
    <row r="12" spans="1:14" ht="12">
      <c r="A12" s="307">
        <v>37529</v>
      </c>
      <c r="B12" s="309">
        <f>SUM(vanjski_sektor!K10:K13)/1000</f>
        <v>1.1862530092042463</v>
      </c>
      <c r="C12" s="308">
        <f>SUM(vanjski_sektor!S10:S13)/1000</f>
        <v>-1.3332220880355194</v>
      </c>
      <c r="D12" s="308">
        <f>(SUM(vanjski_sektor!T10:T13)-SUM(vanjski_sektor!K10:K13))/1000</f>
        <v>-4.8764064840915875</v>
      </c>
      <c r="E12" s="322">
        <v>7.3652499999999996</v>
      </c>
      <c r="F12" s="307"/>
      <c r="N12" s="307"/>
    </row>
    <row r="13" spans="1:14" ht="12">
      <c r="A13" s="307">
        <v>37621</v>
      </c>
      <c r="B13" s="309">
        <f>SUM(vanjski_sektor!K11:K14)/1000</f>
        <v>0.74186618808288962</v>
      </c>
      <c r="C13" s="308">
        <f>SUM(vanjski_sektor!S11:S14)/1000</f>
        <v>-1.8077562324782652</v>
      </c>
      <c r="D13" s="308">
        <f>(SUM(vanjski_sektor!T11:T14)-SUM(vanjski_sektor!K11:K14))/1000</f>
        <v>-4.6242185553659523</v>
      </c>
      <c r="E13" s="322">
        <v>7.4461437500000001</v>
      </c>
      <c r="F13" s="307"/>
      <c r="N13" s="307"/>
    </row>
    <row r="14" spans="1:14" ht="12">
      <c r="A14" s="307">
        <v>37711</v>
      </c>
      <c r="B14" s="309">
        <f>SUM(vanjski_sektor!K12:K15)/1000</f>
        <v>0.67055415725125544</v>
      </c>
      <c r="C14" s="308">
        <f>SUM(vanjski_sektor!S12:S15)/1000</f>
        <v>-1.872499393353513</v>
      </c>
      <c r="D14" s="308">
        <f>(SUM(vanjski_sektor!T12:T15)-SUM(vanjski_sektor!K12:K15))/1000</f>
        <v>-4.8507389499403324</v>
      </c>
      <c r="E14" s="322">
        <v>7.6000079365079403</v>
      </c>
      <c r="F14" s="307"/>
      <c r="N14" s="307"/>
    </row>
    <row r="15" spans="1:14" ht="12">
      <c r="A15" s="307">
        <v>37802</v>
      </c>
      <c r="B15" s="309">
        <f>SUM(vanjski_sektor!K13:K16)/1000</f>
        <v>0.62248348055174763</v>
      </c>
      <c r="C15" s="308">
        <f>SUM(vanjski_sektor!S13:S16)/1000</f>
        <v>-2.3385597874807127</v>
      </c>
      <c r="D15" s="308">
        <f>(SUM(vanjski_sektor!T13:T16)-SUM(vanjski_sektor!K13:K16))/1000</f>
        <v>-7.2510832474930451</v>
      </c>
      <c r="E15" s="322">
        <v>7.5381693548387103</v>
      </c>
      <c r="F15" s="307"/>
      <c r="N15" s="307"/>
    </row>
    <row r="16" spans="1:14" ht="12">
      <c r="A16" s="307">
        <v>37894</v>
      </c>
      <c r="B16" s="309">
        <f>SUM(vanjski_sektor!K14:K17)/1000</f>
        <v>0.7008915698789604</v>
      </c>
      <c r="C16" s="308">
        <f>SUM(vanjski_sektor!S14:S17)/1000</f>
        <v>-2.4125318694700635</v>
      </c>
      <c r="D16" s="308">
        <f>(SUM(vanjski_sektor!T14:T17)-SUM(vanjski_sektor!K14:K17))/1000</f>
        <v>-7.1094844060182192</v>
      </c>
      <c r="E16" s="322">
        <v>7.5080696969696996</v>
      </c>
      <c r="F16" s="307"/>
      <c r="N16" s="307"/>
    </row>
    <row r="17" spans="1:14" ht="12">
      <c r="A17" s="307">
        <v>37986</v>
      </c>
      <c r="B17" s="309">
        <f>SUM(vanjski_sektor!K15:K18)/1000</f>
        <v>1.2354710240709235</v>
      </c>
      <c r="C17" s="308">
        <f>SUM(vanjski_sektor!S15:S18)/1000</f>
        <v>-2.7857863126715063</v>
      </c>
      <c r="D17" s="308">
        <f>(SUM(vanjski_sektor!T15:T18)-SUM(vanjski_sektor!K15:K18))/1000</f>
        <v>-7.2455485069999455</v>
      </c>
      <c r="E17" s="322">
        <v>7.6302796874999999</v>
      </c>
      <c r="F17" s="307"/>
      <c r="N17" s="307"/>
    </row>
    <row r="18" spans="1:14" ht="12">
      <c r="A18" s="307">
        <v>38077</v>
      </c>
      <c r="B18" s="309">
        <f>SUM(vanjski_sektor!K16:K19)/1000</f>
        <v>0.63289258238990642</v>
      </c>
      <c r="C18" s="308">
        <f>SUM(vanjski_sektor!S16:S19)/1000</f>
        <v>-3.0223214033437125</v>
      </c>
      <c r="D18" s="308">
        <f>(SUM(vanjski_sektor!T16:T19)-SUM(vanjski_sektor!K16:K19))/1000</f>
        <v>-6.6130075790736971</v>
      </c>
      <c r="E18" s="322">
        <v>7.6052749999999998</v>
      </c>
      <c r="F18" s="307"/>
      <c r="N18" s="307"/>
    </row>
    <row r="19" spans="1:14" ht="12">
      <c r="A19" s="307">
        <v>38168</v>
      </c>
      <c r="B19" s="309">
        <f>SUM(vanjski_sektor!K17:K20)/1000</f>
        <v>0.5817448602155334</v>
      </c>
      <c r="C19" s="308">
        <f>SUM(vanjski_sektor!S17:S20)/1000</f>
        <v>-2.6006425313105019</v>
      </c>
      <c r="D19" s="308">
        <f>(SUM(vanjski_sektor!T17:T20)-SUM(vanjski_sektor!K17:K20))/1000</f>
        <v>-5.8368146287345404</v>
      </c>
      <c r="E19" s="322">
        <v>7.4340317460317502</v>
      </c>
      <c r="F19" s="307"/>
      <c r="N19" s="307"/>
    </row>
    <row r="20" spans="1:14" ht="12">
      <c r="A20" s="307">
        <v>38260</v>
      </c>
      <c r="B20" s="309">
        <f>SUM(vanjski_sektor!K18:K21)/1000</f>
        <v>0.42030870240975721</v>
      </c>
      <c r="C20" s="308">
        <f>SUM(vanjski_sektor!S18:S21)/1000</f>
        <v>-2.2597435264446828</v>
      </c>
      <c r="D20" s="308">
        <f>(SUM(vanjski_sektor!T18:T21)-SUM(vanjski_sektor!K18:K21))/1000</f>
        <v>-5.5856139112655674</v>
      </c>
      <c r="E20" s="322">
        <v>7.3949560606060603</v>
      </c>
      <c r="F20" s="307"/>
      <c r="N20" s="307"/>
    </row>
    <row r="21" spans="1:14" ht="12">
      <c r="A21" s="307">
        <v>38352</v>
      </c>
      <c r="B21" s="309">
        <f>SUM(vanjski_sektor!K19:K22)/1000</f>
        <v>4.3033827075195742E-2</v>
      </c>
      <c r="C21" s="308">
        <f>SUM(vanjski_sektor!S19:S22)/1000</f>
        <v>-2.0052392405654542</v>
      </c>
      <c r="D21" s="308">
        <f>(SUM(vanjski_sektor!T19:T22)-SUM(vanjski_sektor!K19:K22))/1000</f>
        <v>-5.2741496585915852</v>
      </c>
      <c r="E21" s="322">
        <v>7.55282424242424</v>
      </c>
      <c r="F21" s="307"/>
      <c r="N21" s="307"/>
    </row>
    <row r="22" spans="1:14" ht="12">
      <c r="A22" s="307">
        <v>38442</v>
      </c>
      <c r="B22" s="309">
        <f>SUM(vanjski_sektor!K20:K23)/1000</f>
        <v>0.65276711277459487</v>
      </c>
      <c r="C22" s="308">
        <f>SUM(vanjski_sektor!S20:S23)/1000</f>
        <v>-2.1573231349883173</v>
      </c>
      <c r="D22" s="308">
        <f>(SUM(vanjski_sektor!T20:T23)-SUM(vanjski_sektor!K20:K23))/1000</f>
        <v>-6.1174015855270278</v>
      </c>
      <c r="E22" s="322">
        <v>7.5080822580645101</v>
      </c>
      <c r="F22" s="307"/>
      <c r="N22" s="307"/>
    </row>
    <row r="23" spans="1:14" ht="12">
      <c r="A23" s="307">
        <v>38533</v>
      </c>
      <c r="B23" s="309">
        <f>SUM(vanjski_sektor!K21:K24)/1000</f>
        <v>0.73245210931552807</v>
      </c>
      <c r="C23" s="308">
        <f>SUM(vanjski_sektor!S21:S24)/1000</f>
        <v>-2.4767454624114431</v>
      </c>
      <c r="D23" s="308">
        <f>(SUM(vanjski_sektor!T21:T24)-SUM(vanjski_sektor!K21:K24))/1000</f>
        <v>-6.5300944696119325</v>
      </c>
      <c r="E23" s="322">
        <v>7.3442646153846098</v>
      </c>
      <c r="F23" s="307"/>
      <c r="N23" s="307"/>
    </row>
    <row r="24" spans="1:14" ht="12">
      <c r="A24" s="307">
        <v>38625</v>
      </c>
      <c r="B24" s="309">
        <f>SUM(vanjski_sektor!K22:K25)/1000</f>
        <v>0.57626136574141062</v>
      </c>
      <c r="C24" s="308">
        <f>SUM(vanjski_sektor!S22:S25)/1000</f>
        <v>-2.3805422209392288</v>
      </c>
      <c r="D24" s="308">
        <f>(SUM(vanjski_sektor!T22:T25)-SUM(vanjski_sektor!K22:K25))/1000</f>
        <v>-6.0655275885177407</v>
      </c>
      <c r="E24" s="322">
        <v>7.37284393939394</v>
      </c>
      <c r="F24" s="307"/>
      <c r="N24" s="307"/>
    </row>
    <row r="25" spans="1:14" ht="12">
      <c r="A25" s="307">
        <v>38717</v>
      </c>
      <c r="B25" s="309">
        <f>SUM(vanjski_sektor!K23:K26)/1000</f>
        <v>0.82181006774759069</v>
      </c>
      <c r="C25" s="308">
        <f>SUM(vanjski_sektor!S23:S26)/1000</f>
        <v>-2.6422774076092574</v>
      </c>
      <c r="D25" s="308">
        <f>(SUM(vanjski_sektor!T23:T26)-SUM(vanjski_sektor!K23:K26))/1000</f>
        <v>-7.2217151410857463</v>
      </c>
      <c r="E25" s="322">
        <v>7.3831015625000003</v>
      </c>
      <c r="F25" s="307"/>
      <c r="N25" s="307"/>
    </row>
    <row r="26" spans="1:14" ht="12">
      <c r="A26" s="307">
        <v>38807</v>
      </c>
      <c r="B26" s="309">
        <f>SUM(vanjski_sektor!K24:K27)/1000</f>
        <v>1.3062872386471627</v>
      </c>
      <c r="C26" s="308">
        <f>SUM(vanjski_sektor!S24:S27)/1000</f>
        <v>-3.1198621359245817</v>
      </c>
      <c r="D26" s="308">
        <f>(SUM(vanjski_sektor!T24:T27)-SUM(vanjski_sektor!K24:K27))/1000</f>
        <v>-8.5884224286230815</v>
      </c>
      <c r="E26" s="322">
        <v>7.3426307692307704</v>
      </c>
      <c r="F26" s="307"/>
      <c r="N26" s="307"/>
    </row>
    <row r="27" spans="1:14" ht="12">
      <c r="A27" s="307">
        <v>38898</v>
      </c>
      <c r="B27" s="309">
        <f>SUM(vanjski_sektor!K25:K28)/1000</f>
        <v>1.7210848997892827</v>
      </c>
      <c r="C27" s="308">
        <f>SUM(vanjski_sektor!S25:S28)/1000</f>
        <v>-3.2687589911713504</v>
      </c>
      <c r="D27" s="308">
        <f>(SUM(vanjski_sektor!T25:T28)-SUM(vanjski_sektor!K25:K28))/1000</f>
        <v>-9.7361478694634709</v>
      </c>
      <c r="E27" s="322">
        <v>7.2786096774193503</v>
      </c>
      <c r="F27" s="307"/>
      <c r="N27" s="307"/>
    </row>
    <row r="28" spans="1:14" ht="12">
      <c r="A28" s="307">
        <v>38990</v>
      </c>
      <c r="B28" s="309">
        <f>SUM(vanjski_sektor!K26:K29)/1000</f>
        <v>1.1922462351050542</v>
      </c>
      <c r="C28" s="308">
        <f>SUM(vanjski_sektor!S26:S29)/1000</f>
        <v>-3.146920535527487</v>
      </c>
      <c r="D28" s="308">
        <f>(SUM(vanjski_sektor!T26:T29)-SUM(vanjski_sektor!K26:K29))/1000</f>
        <v>-9.6183015706824797</v>
      </c>
      <c r="E28" s="322">
        <v>7.3108815384615404</v>
      </c>
      <c r="F28" s="307"/>
      <c r="N28" s="307"/>
    </row>
    <row r="29" spans="1:14" ht="12">
      <c r="A29" s="307">
        <v>39082</v>
      </c>
      <c r="B29" s="309">
        <f>SUM(vanjski_sektor!K27:K30)/1000</f>
        <v>1.4122303304319748</v>
      </c>
      <c r="C29" s="308">
        <f>SUM(vanjski_sektor!S27:S30)/1000</f>
        <v>-3.1316488574129355</v>
      </c>
      <c r="D29" s="308">
        <f>(SUM(vanjski_sektor!T27:T30)-SUM(vanjski_sektor!K27:K30))/1000</f>
        <v>-9.3283970899816442</v>
      </c>
      <c r="E29" s="322">
        <v>7.3657238095238098</v>
      </c>
      <c r="F29" s="307"/>
      <c r="N29" s="307"/>
    </row>
    <row r="30" spans="1:14" ht="12">
      <c r="A30" s="307">
        <v>39172</v>
      </c>
      <c r="B30" s="309">
        <f>SUM(vanjski_sektor!K28:K31)/1000</f>
        <v>1.5478132552727135</v>
      </c>
      <c r="C30" s="308">
        <f>SUM(vanjski_sektor!S28:S31)/1000</f>
        <v>-3.2242631909668473</v>
      </c>
      <c r="D30" s="308">
        <f>(SUM(vanjski_sektor!T28:T31)-SUM(vanjski_sektor!K28:K31))/1000</f>
        <v>-9.9485527153220126</v>
      </c>
      <c r="E30" s="322">
        <v>7.3656078125000004</v>
      </c>
      <c r="F30" s="307"/>
      <c r="N30" s="307"/>
    </row>
    <row r="31" spans="1:14" ht="12">
      <c r="A31" s="307">
        <v>39263</v>
      </c>
      <c r="B31" s="309">
        <f>SUM(vanjski_sektor!K29:K32)/1000</f>
        <v>0.51476567897705328</v>
      </c>
      <c r="C31" s="308">
        <f>SUM(vanjski_sektor!S29:S32)/1000</f>
        <v>-3.2749520068921947</v>
      </c>
      <c r="D31" s="308">
        <f>(SUM(vanjski_sektor!T29:T32)-SUM(vanjski_sektor!K29:K32))/1000</f>
        <v>-8.7689298840950407</v>
      </c>
      <c r="E31" s="322">
        <v>7.3493854838709698</v>
      </c>
      <c r="F31" s="307"/>
      <c r="N31" s="307"/>
    </row>
    <row r="32" spans="1:14" ht="12">
      <c r="A32" s="307">
        <v>39355</v>
      </c>
      <c r="B32" s="309">
        <f>SUM(vanjski_sektor!K30:K33)/1000</f>
        <v>0.80071888759359422</v>
      </c>
      <c r="C32" s="308">
        <f>SUM(vanjski_sektor!S30:S33)/1000</f>
        <v>-3.0414669217701378</v>
      </c>
      <c r="D32" s="308">
        <f>(SUM(vanjski_sektor!T30:T33)-SUM(vanjski_sektor!K30:K33))/1000</f>
        <v>-8.7913392842786706</v>
      </c>
      <c r="E32" s="322">
        <v>7.3080123076923096</v>
      </c>
      <c r="F32" s="307"/>
      <c r="N32" s="307"/>
    </row>
    <row r="33" spans="1:14" ht="12">
      <c r="A33" s="307">
        <v>39447</v>
      </c>
      <c r="B33" s="309">
        <f>SUM(vanjski_sektor!K31:K34)/1000</f>
        <v>0.72161587208356071</v>
      </c>
      <c r="C33" s="308">
        <f>SUM(vanjski_sektor!S31:S34)/1000</f>
        <v>-3.4358957236502428</v>
      </c>
      <c r="D33" s="308">
        <f>(SUM(vanjski_sektor!T31:T34)-SUM(vanjski_sektor!K31:K34))/1000</f>
        <v>-9.5060434475985431</v>
      </c>
      <c r="E33" s="322">
        <v>7.3280609375000001</v>
      </c>
      <c r="F33" s="307"/>
      <c r="N33" s="307"/>
    </row>
    <row r="34" spans="1:14" ht="12">
      <c r="A34" s="307">
        <v>39538</v>
      </c>
      <c r="B34" s="309">
        <f>SUM(vanjski_sektor!K32:K35)/1000</f>
        <v>0.60940991598461947</v>
      </c>
      <c r="C34" s="308">
        <f>SUM(vanjski_sektor!S32:S35)/1000</f>
        <v>-3.9334096161409464</v>
      </c>
      <c r="D34" s="308">
        <f>(SUM(vanjski_sektor!T32:T35)-SUM(vanjski_sektor!K32:K35))/1000</f>
        <v>-10.72447488476443</v>
      </c>
      <c r="E34" s="322">
        <v>7.28522580645161</v>
      </c>
      <c r="F34" s="307"/>
      <c r="N34" s="307"/>
    </row>
    <row r="35" spans="1:14" ht="12">
      <c r="A35" s="307">
        <v>39629</v>
      </c>
      <c r="B35" s="309">
        <f>SUM(vanjski_sektor!K33:K36)/1000</f>
        <v>1.0410291218448331</v>
      </c>
      <c r="C35" s="308">
        <f>SUM(vanjski_sektor!S33:S36)/1000</f>
        <v>-4.623398074649125</v>
      </c>
      <c r="D35" s="308">
        <f>(SUM(vanjski_sektor!T33:T36)-SUM(vanjski_sektor!K33:K36))/1000</f>
        <v>-11.469186543171855</v>
      </c>
      <c r="E35" s="322">
        <v>7.2555593749999998</v>
      </c>
      <c r="F35" s="307"/>
      <c r="N35" s="307"/>
    </row>
    <row r="36" spans="1:14" ht="12">
      <c r="A36" s="307">
        <v>39721</v>
      </c>
      <c r="B36" s="309">
        <f>SUM(vanjski_sektor!K34:K37)/1000</f>
        <v>0.9684827549057633</v>
      </c>
      <c r="C36" s="308">
        <f>SUM(vanjski_sektor!S34:S37)/1000</f>
        <v>-5.0238718512875407</v>
      </c>
      <c r="D36" s="308">
        <f>(SUM(vanjski_sektor!T34:T37)-SUM(vanjski_sektor!K34:K37))/1000</f>
        <v>-11.811372953585725</v>
      </c>
      <c r="E36" s="322">
        <v>7.1827287878787898</v>
      </c>
      <c r="F36" s="307"/>
      <c r="N36" s="307"/>
    </row>
    <row r="37" spans="1:14" ht="12">
      <c r="A37" s="307">
        <v>39813</v>
      </c>
      <c r="B37" s="309">
        <f>SUM(vanjski_sektor!K35:K38)/1000</f>
        <v>-0.33040216344660861</v>
      </c>
      <c r="C37" s="308">
        <f>SUM(vanjski_sektor!S35:S38)/1000</f>
        <v>-5.047520526699854</v>
      </c>
      <c r="D37" s="308">
        <f>(SUM(vanjski_sektor!T35:T38)-SUM(vanjski_sektor!K35:K38))/1000</f>
        <v>-11.886624525215336</v>
      </c>
      <c r="E37" s="322">
        <v>7.1752453125000004</v>
      </c>
      <c r="F37" s="307"/>
      <c r="N37" s="307"/>
    </row>
    <row r="38" spans="1:14" ht="12">
      <c r="A38" s="307">
        <v>39903</v>
      </c>
      <c r="B38" s="309">
        <f>SUM(vanjski_sektor!K36:K39)/1000</f>
        <v>-1.4370106404671743</v>
      </c>
      <c r="C38" s="308">
        <f>SUM(vanjski_sektor!S36:S39)/1000</f>
        <v>-4.4050955539078052</v>
      </c>
      <c r="D38" s="308">
        <f>(SUM(vanjski_sektor!T36:T39)-SUM(vanjski_sektor!K36:K39))/1000</f>
        <v>-9.3776578899886331</v>
      </c>
      <c r="E38" s="322">
        <v>7.4115761904761897</v>
      </c>
      <c r="F38" s="307"/>
      <c r="N38" s="307"/>
    </row>
    <row r="39" spans="1:14" ht="12">
      <c r="A39" s="307">
        <v>39994</v>
      </c>
      <c r="B39" s="309">
        <f>SUM(vanjski_sektor!K37:K40)/1000</f>
        <v>-1.201455264418857</v>
      </c>
      <c r="C39" s="308">
        <f>SUM(vanjski_sektor!S37:S40)/1000</f>
        <v>-3.4141494328604822</v>
      </c>
      <c r="D39" s="308">
        <f>(SUM(vanjski_sektor!T37:T40)-SUM(vanjski_sektor!K37:K40))/1000</f>
        <v>-7.7791534823573656</v>
      </c>
      <c r="E39" s="322">
        <v>7.3527758064516098</v>
      </c>
      <c r="F39" s="307"/>
      <c r="N39" s="307"/>
    </row>
    <row r="40" spans="1:14" ht="12">
      <c r="A40" s="307">
        <v>40086</v>
      </c>
      <c r="B40" s="309">
        <f>SUM(vanjski_sektor!K38:K41)/1000</f>
        <v>-0.51383931671223082</v>
      </c>
      <c r="C40" s="308">
        <f>SUM(vanjski_sektor!S38:S41)/1000</f>
        <v>-3.2831322868029429</v>
      </c>
      <c r="D40" s="308">
        <f>(SUM(vanjski_sektor!T38:T41)-SUM(vanjski_sektor!K38:K41))/1000</f>
        <v>-7.5177285351271239</v>
      </c>
      <c r="E40" s="322">
        <v>7.3232196969696997</v>
      </c>
      <c r="F40" s="307"/>
      <c r="N40" s="307"/>
    </row>
    <row r="41" spans="1:14" ht="12">
      <c r="A41" s="307">
        <v>40178</v>
      </c>
      <c r="B41" s="309">
        <f>SUM(vanjski_sektor!K39:K42)/1000</f>
        <v>1.2282211305437178</v>
      </c>
      <c r="C41" s="308">
        <f>SUM(vanjski_sektor!S39:S42)/1000</f>
        <v>-2.9588230560751678</v>
      </c>
      <c r="D41" s="308">
        <f>(SUM(vanjski_sektor!T39:T42)-SUM(vanjski_sektor!K39:K42))/1000</f>
        <v>-7.2450940119177076</v>
      </c>
      <c r="E41" s="322">
        <v>7.2755984615384603</v>
      </c>
      <c r="F41" s="307"/>
      <c r="N41" s="307"/>
    </row>
    <row r="42" spans="1:14" ht="12">
      <c r="A42" s="307">
        <v>40268</v>
      </c>
      <c r="B42" s="309">
        <f>SUM(vanjski_sektor!K40:K43)/1000</f>
        <v>1.1107590629306265</v>
      </c>
      <c r="C42" s="308">
        <f>SUM(vanjski_sektor!S40:S43)/1000</f>
        <v>-2.5214538959323938</v>
      </c>
      <c r="D42" s="308">
        <f>(SUM(vanjski_sektor!T40:T43)-SUM(vanjski_sektor!K40:K43))/1000</f>
        <v>-4.8277036270945697</v>
      </c>
      <c r="E42" s="322">
        <v>7.2849380952380898</v>
      </c>
      <c r="F42" s="307"/>
      <c r="N42" s="307"/>
    </row>
    <row r="43" spans="1:14" ht="12">
      <c r="A43" s="307">
        <v>40359</v>
      </c>
      <c r="B43" s="309">
        <f>SUM(vanjski_sektor!K41:K44)/1000</f>
        <v>0.85253652175502148</v>
      </c>
      <c r="C43" s="308">
        <f>SUM(vanjski_sektor!S41:S44)/1000</f>
        <v>-1.6728034977328006</v>
      </c>
      <c r="D43" s="308">
        <f>(SUM(vanjski_sektor!T41:T44)-SUM(vanjski_sektor!K41:K44))/1000</f>
        <v>-2.7913597356819495</v>
      </c>
      <c r="E43" s="322">
        <v>7.2477174603174603</v>
      </c>
      <c r="F43" s="307"/>
      <c r="N43" s="307"/>
    </row>
    <row r="44" spans="1:14" ht="12">
      <c r="A44" s="307">
        <v>40451</v>
      </c>
      <c r="B44" s="309">
        <f>SUM(vanjski_sektor!K42:K45)/1000</f>
        <v>1.684340436478899</v>
      </c>
      <c r="C44" s="308">
        <f>SUM(vanjski_sektor!S42:S45)/1000</f>
        <v>-1.432624522207544</v>
      </c>
      <c r="D44" s="308">
        <f>(SUM(vanjski_sektor!T42:T45)-SUM(vanjski_sektor!K42:K45))/1000</f>
        <v>-2.8765322065621222</v>
      </c>
      <c r="E44" s="322">
        <v>7.2532106060606001</v>
      </c>
      <c r="F44" s="307"/>
      <c r="N44" s="307"/>
    </row>
    <row r="45" spans="1:14" ht="12">
      <c r="A45" s="307">
        <v>40543</v>
      </c>
      <c r="B45" s="309">
        <f>SUM(vanjski_sektor!K43:K46)/1000</f>
        <v>0.10678998076057099</v>
      </c>
      <c r="C45" s="308">
        <f>SUM(vanjski_sektor!S43:S46)/1000</f>
        <v>-0.97351535056872718</v>
      </c>
      <c r="D45" s="308">
        <f>(SUM(vanjski_sektor!T43:T46)-SUM(vanjski_sektor!K43:K46))/1000</f>
        <v>-1.7560316685615425</v>
      </c>
      <c r="E45" s="322">
        <v>7.3682878787878803</v>
      </c>
      <c r="F45" s="307"/>
      <c r="N45" s="307"/>
    </row>
    <row r="46" spans="1:14" ht="12">
      <c r="A46" s="307">
        <v>40633</v>
      </c>
      <c r="B46" s="309">
        <f>SUM(vanjski_sektor!K44:K47)/1000</f>
        <v>1.5489049778886488</v>
      </c>
      <c r="C46" s="308">
        <f>SUM(vanjski_sektor!S44:S47)/1000</f>
        <v>-1.185355389734486</v>
      </c>
      <c r="D46" s="308">
        <f>(SUM(vanjski_sektor!T44:T47)-SUM(vanjski_sektor!K44:K47))/1000</f>
        <v>-4.5359291588020749</v>
      </c>
      <c r="E46" s="322">
        <v>7.4018390624999997</v>
      </c>
      <c r="F46" s="307"/>
      <c r="N46" s="307"/>
    </row>
    <row r="47" spans="1:14" ht="12">
      <c r="A47" s="307">
        <v>40724</v>
      </c>
      <c r="B47" s="309">
        <f>SUM(vanjski_sektor!K45:K48)/1000</f>
        <v>1.5241392843860273</v>
      </c>
      <c r="C47" s="308">
        <f>SUM(vanjski_sektor!S45:S48)/1000</f>
        <v>-1.4258620778895961</v>
      </c>
      <c r="D47" s="308">
        <f>(SUM(vanjski_sektor!T45:T48)-SUM(vanjski_sektor!K45:K48))/1000</f>
        <v>-5.1162510892559938</v>
      </c>
      <c r="E47" s="322">
        <v>7.3931682539682502</v>
      </c>
      <c r="F47" s="307"/>
      <c r="N47" s="307"/>
    </row>
    <row r="48" spans="1:14" ht="12">
      <c r="A48" s="307">
        <v>40816</v>
      </c>
      <c r="B48" s="309">
        <f>SUM(vanjski_sektor!K46:K49)/1000</f>
        <v>0.15357645675743559</v>
      </c>
      <c r="C48" s="308">
        <f>SUM(vanjski_sektor!S46:S49)/1000</f>
        <v>-0.93730078049493615</v>
      </c>
      <c r="D48" s="308">
        <f>(SUM(vanjski_sektor!T46:T49)-SUM(vanjski_sektor!K46:K49))/1000</f>
        <v>-2.9732020540232948</v>
      </c>
      <c r="E48" s="322">
        <v>7.4628621212121198</v>
      </c>
      <c r="F48" s="307"/>
      <c r="N48" s="307"/>
    </row>
    <row r="49" spans="1:14" ht="12">
      <c r="A49" s="307">
        <v>40908</v>
      </c>
      <c r="B49" s="309">
        <f>SUM(vanjski_sektor!K47:K50)/1000</f>
        <v>0.4624148303860407</v>
      </c>
      <c r="C49" s="308">
        <f>SUM(vanjski_sektor!S47:S50)/1000</f>
        <v>-0.79946727392246297</v>
      </c>
      <c r="D49" s="308">
        <f>(SUM(vanjski_sektor!T47:T50)-SUM(vanjski_sektor!K47:K50))/1000</f>
        <v>-2.7514948538824675</v>
      </c>
      <c r="E49" s="322">
        <v>7.49684375</v>
      </c>
      <c r="F49" s="307"/>
      <c r="N49" s="307"/>
    </row>
    <row r="50" spans="1:14" ht="12">
      <c r="A50" s="307">
        <v>40999</v>
      </c>
      <c r="B50" s="309">
        <f>SUM(vanjski_sektor!K48:K51)/1000</f>
        <v>-0.22891224530877102</v>
      </c>
      <c r="C50" s="308">
        <f>SUM(vanjski_sektor!S48:S51)/1000</f>
        <v>-0.87414834791025353</v>
      </c>
      <c r="D50" s="308">
        <f>(SUM(vanjski_sektor!T48:T51)-SUM(vanjski_sektor!K48:K51))/1000</f>
        <v>-1.9957322050635782</v>
      </c>
      <c r="E50" s="322">
        <v>7.5568384615384598</v>
      </c>
      <c r="F50" s="307"/>
      <c r="N50" s="307"/>
    </row>
    <row r="51" spans="1:14" ht="12">
      <c r="A51" s="307">
        <v>41090</v>
      </c>
      <c r="B51" s="309">
        <f>SUM(vanjski_sektor!K49:K52)/1000</f>
        <v>-0.1684898283282722</v>
      </c>
      <c r="C51" s="308">
        <f>SUM(vanjski_sektor!S49:S52)/1000</f>
        <v>-0.98522746399552941</v>
      </c>
      <c r="D51" s="308">
        <f>(SUM(vanjski_sektor!T49:T52)-SUM(vanjski_sektor!K49:K52))/1000</f>
        <v>-1.6424445664661109</v>
      </c>
      <c r="E51" s="322">
        <v>7.5280370967741899</v>
      </c>
      <c r="F51" s="307"/>
      <c r="N51" s="307"/>
    </row>
    <row r="52" spans="1:14" ht="12">
      <c r="A52" s="307">
        <v>41182</v>
      </c>
      <c r="B52" s="309">
        <f>SUM(vanjski_sektor!K50:K53)/1000</f>
        <v>-0.11864989309790855</v>
      </c>
      <c r="C52" s="308">
        <f>SUM(vanjski_sektor!S50:S53)/1000</f>
        <v>-0.97907349597071602</v>
      </c>
      <c r="D52" s="308">
        <f>(SUM(vanjski_sektor!T50:T53)-SUM(vanjski_sektor!K50:K53))/1000</f>
        <v>-0.84017443258003843</v>
      </c>
      <c r="E52" s="322">
        <v>7.4731861538461501</v>
      </c>
      <c r="F52" s="307"/>
      <c r="N52" s="307"/>
    </row>
    <row r="53" spans="1:14" ht="12">
      <c r="A53" s="307">
        <v>41274</v>
      </c>
      <c r="B53" s="309">
        <f>SUM(vanjski_sektor!K51:K54)/1000</f>
        <v>4.5809949937272491E-2</v>
      </c>
      <c r="C53" s="308">
        <f>SUM(vanjski_sektor!S51:S54)/1000</f>
        <v>-0.78890830419244407</v>
      </c>
      <c r="D53" s="308">
        <f>(SUM(vanjski_sektor!T51:T54)-SUM(vanjski_sektor!K51:K54))/1000</f>
        <v>-0.35957053670663397</v>
      </c>
      <c r="E53" s="322">
        <v>7.5290296874999996</v>
      </c>
      <c r="F53" s="307"/>
      <c r="N53" s="307"/>
    </row>
    <row r="54" spans="1:14" ht="12">
      <c r="A54" s="307">
        <v>41364</v>
      </c>
      <c r="B54" s="309">
        <f>SUM(vanjski_sektor!K52:K55)/1000</f>
        <v>-0.21546156237945574</v>
      </c>
      <c r="C54" s="308">
        <f>SUM(vanjski_sektor!S52:S55)/1000</f>
        <v>-0.50649217793039225</v>
      </c>
      <c r="D54" s="308">
        <f>(SUM(vanjski_sektor!T52:T55)-SUM(vanjski_sektor!K52:K55))/1000</f>
        <v>0.27970311766179523</v>
      </c>
      <c r="E54" s="322">
        <v>7.5837870967742003</v>
      </c>
      <c r="F54" s="307"/>
      <c r="N54" s="307"/>
    </row>
    <row r="55" spans="1:14" ht="12">
      <c r="A55" s="307">
        <v>41455</v>
      </c>
      <c r="B55" s="309">
        <f>SUM(vanjski_sektor!K53:K56)/1000</f>
        <v>0.4800136714224616</v>
      </c>
      <c r="C55" s="308">
        <f>SUM(vanjski_sektor!S53:S56)/1000</f>
        <v>-0.49487145528783638</v>
      </c>
      <c r="D55" s="308">
        <f>(SUM(vanjski_sektor!T53:T56)-SUM(vanjski_sektor!K53:K56))/1000</f>
        <v>-1.2706505087951099</v>
      </c>
      <c r="E55" s="322">
        <v>7.5566111111111098</v>
      </c>
      <c r="F55" s="307"/>
      <c r="N55" s="307"/>
    </row>
    <row r="56" spans="1:14" ht="12">
      <c r="A56" s="307">
        <v>41547</v>
      </c>
      <c r="B56" s="309">
        <f>SUM(vanjski_sektor!K54:K57)/1000</f>
        <v>0.47917864384892628</v>
      </c>
      <c r="C56" s="308">
        <f>SUM(vanjski_sektor!S54:S57)/1000</f>
        <v>-0.36414631032399941</v>
      </c>
      <c r="D56" s="308">
        <f>(SUM(vanjski_sektor!T54:T57)-SUM(vanjski_sektor!K54:K57))/1000</f>
        <v>-1.9022313488310219</v>
      </c>
      <c r="E56" s="322">
        <v>7.5458803030302999</v>
      </c>
      <c r="F56" s="307"/>
      <c r="N56" s="307"/>
    </row>
    <row r="57" spans="1:14" ht="12">
      <c r="A57" s="307">
        <v>41639</v>
      </c>
      <c r="B57" s="309">
        <f>SUM(vanjski_sektor!K55:K58)/1000</f>
        <v>1.8440875550001001</v>
      </c>
      <c r="C57" s="308">
        <f>SUM(vanjski_sektor!S55:S58)/1000</f>
        <v>-0.46099721355880774</v>
      </c>
      <c r="D57" s="308">
        <f>(SUM(vanjski_sektor!T55:T58)-SUM(vanjski_sektor!K55:K58))/1000</f>
        <v>-2.9194811594616632</v>
      </c>
      <c r="E57" s="322">
        <v>7.6290312499999997</v>
      </c>
      <c r="F57" s="307"/>
      <c r="N57" s="307"/>
    </row>
    <row r="58" spans="1:14" ht="12">
      <c r="A58" s="307">
        <v>41729</v>
      </c>
      <c r="B58" s="309">
        <f>SUM(vanjski_sektor!K56:K59)/1000</f>
        <v>1.0813852350001003</v>
      </c>
      <c r="C58" s="308">
        <f>SUM(vanjski_sektor!S56:S59)/1000</f>
        <v>-0.52066931316339649</v>
      </c>
      <c r="D58" s="308">
        <f>(SUM(vanjski_sektor!T56:T59)-SUM(vanjski_sektor!K56:K59))/1000</f>
        <v>-1.5661209724473337</v>
      </c>
      <c r="E58" s="322">
        <v>7.6497682539682499</v>
      </c>
      <c r="F58" s="307"/>
      <c r="N58" s="307"/>
    </row>
    <row r="59" spans="1:14" ht="12">
      <c r="A59" s="307">
        <v>41820</v>
      </c>
      <c r="B59" s="309">
        <f>SUM(vanjski_sektor!K57:K60)/1000</f>
        <v>0.485899621</v>
      </c>
      <c r="C59" s="308">
        <f>SUM(vanjski_sektor!S57:S60)/1000</f>
        <v>-0.52332888114609799</v>
      </c>
      <c r="D59" s="308">
        <f>(SUM(vanjski_sektor!T57:T60)-SUM(vanjski_sektor!K57:K60))/1000</f>
        <v>-2.3430844220083602E-3</v>
      </c>
      <c r="E59" s="322">
        <v>7.5991774193548398</v>
      </c>
      <c r="F59" s="307"/>
      <c r="N59" s="307"/>
    </row>
    <row r="60" spans="1:14" ht="12">
      <c r="A60" s="307">
        <v>41912</v>
      </c>
      <c r="B60" s="309">
        <f>SUM(vanjski_sektor!K58:K61)/1000</f>
        <v>0.26338654199999995</v>
      </c>
      <c r="C60" s="308">
        <f>SUM(vanjski_sektor!S58:S61)/1000</f>
        <v>-0.50278835364497898</v>
      </c>
      <c r="D60" s="308">
        <f>(SUM(vanjski_sektor!T58:T61)-SUM(vanjski_sektor!K58:K61))/1000</f>
        <v>0.57823122870195376</v>
      </c>
      <c r="E60" s="322">
        <v>7.6233272727272698</v>
      </c>
      <c r="F60" s="307"/>
      <c r="N60" s="307"/>
    </row>
    <row r="61" spans="1:14" ht="12">
      <c r="A61" s="307">
        <v>42004</v>
      </c>
      <c r="B61" s="309">
        <f>SUM(vanjski_sektor!K59:K62)/1000</f>
        <v>-0.52988015999999993</v>
      </c>
      <c r="C61" s="308">
        <f>SUM(vanjski_sektor!S59:S62)/1000</f>
        <v>0.11113160990711367</v>
      </c>
      <c r="D61" s="308">
        <f>(SUM(vanjski_sektor!T59:T62)-SUM(vanjski_sektor!K59:K62))/1000</f>
        <v>2.0661782276145706</v>
      </c>
      <c r="E61" s="322">
        <v>7.6648734374999998</v>
      </c>
      <c r="F61" s="307"/>
      <c r="N61" s="307"/>
    </row>
    <row r="62" spans="1:14" ht="12">
      <c r="A62" s="307">
        <v>42094</v>
      </c>
      <c r="B62" s="309">
        <f>SUM(vanjski_sektor!K60:K63)/1000</f>
        <v>1.386860516</v>
      </c>
      <c r="C62" s="308">
        <f>SUM(vanjski_sektor!S60:S63)/1000</f>
        <v>0.25599223032435292</v>
      </c>
      <c r="D62" s="308">
        <f>(SUM(vanjski_sektor!T60:T63)-SUM(vanjski_sektor!K60:K63))/1000</f>
        <v>0.65667091410251277</v>
      </c>
      <c r="E62" s="322">
        <v>7.6810904761904801</v>
      </c>
      <c r="F62" s="307"/>
      <c r="N62" s="307"/>
    </row>
    <row r="63" spans="1:14" ht="12">
      <c r="A63" s="307">
        <v>42185</v>
      </c>
      <c r="B63" s="309">
        <f>SUM(vanjski_sektor!K61:K64)/1000</f>
        <v>0.85518806699999994</v>
      </c>
      <c r="C63" s="308">
        <f>SUM(vanjski_sektor!S61:S64)/1000</f>
        <v>0.49104863420817035</v>
      </c>
      <c r="D63" s="308">
        <f>(SUM(vanjski_sektor!T61:T64)-SUM(vanjski_sektor!K61:K64))/1000</f>
        <v>1.017164429699883</v>
      </c>
      <c r="E63" s="322">
        <v>7.5735032258064496</v>
      </c>
      <c r="F63" s="307"/>
      <c r="N63" s="307"/>
    </row>
    <row r="64" spans="1:14" ht="12">
      <c r="A64" s="307">
        <v>42277</v>
      </c>
      <c r="B64" s="309">
        <f>SUM(vanjski_sektor!K62:K65)/1000</f>
        <v>1.0208730180000001</v>
      </c>
      <c r="C64" s="308">
        <f>SUM(vanjski_sektor!S62:S65)/1000</f>
        <v>1.7166060446929723</v>
      </c>
      <c r="D64" s="308">
        <f>(SUM(vanjski_sektor!T62:T65)-SUM(vanjski_sektor!K62:K65))/1000</f>
        <v>2.8213712426741897</v>
      </c>
      <c r="E64" s="322">
        <v>7.5781196969696998</v>
      </c>
      <c r="F64" s="307"/>
      <c r="N64" s="307"/>
    </row>
    <row r="65" spans="1:14" ht="12">
      <c r="A65" s="307">
        <v>42369</v>
      </c>
      <c r="B65" s="309">
        <f>SUM(vanjski_sektor!K63:K66)/1000</f>
        <v>0.7453460860000003</v>
      </c>
      <c r="C65" s="308">
        <f>SUM(vanjski_sektor!S63:S66)/1000</f>
        <v>1.4523680657510558</v>
      </c>
      <c r="D65" s="308">
        <f>(SUM(vanjski_sektor!T63:T66)-SUM(vanjski_sektor!K63:K66))/1000</f>
        <v>2.8510084971764429</v>
      </c>
      <c r="E65" s="322">
        <v>7.6228584615384598</v>
      </c>
      <c r="F65" s="307"/>
      <c r="N65" s="307"/>
    </row>
    <row r="66" spans="1:14" ht="12">
      <c r="A66" s="307">
        <v>42460</v>
      </c>
      <c r="B66" s="309">
        <f>SUM(vanjski_sektor!K64:K67)/1000</f>
        <v>-0.81775744999999989</v>
      </c>
      <c r="C66" s="308">
        <f>SUM(vanjski_sektor!S64:S67)/1000</f>
        <v>1.1802582853284156</v>
      </c>
      <c r="D66" s="308">
        <f>(SUM(vanjski_sektor!T64:T67)-SUM(vanjski_sektor!K64:K67))/1000</f>
        <v>3.8398119536884368</v>
      </c>
      <c r="E66" s="322">
        <v>7.6170177419354799</v>
      </c>
      <c r="F66" s="307"/>
      <c r="N66" s="307"/>
    </row>
    <row r="67" spans="1:14" ht="12">
      <c r="A67" s="307">
        <v>42551</v>
      </c>
      <c r="B67" s="309">
        <f>SUM(vanjski_sektor!K65:K68)/1000</f>
        <v>-0.88375095599999975</v>
      </c>
      <c r="C67" s="308">
        <f>SUM(vanjski_sektor!S65:S68)/1000</f>
        <v>1.459671235445845</v>
      </c>
      <c r="D67" s="308">
        <f>(SUM(vanjski_sektor!T65:T68)-SUM(vanjski_sektor!K65:K68))/1000</f>
        <v>4.7948707158781509</v>
      </c>
      <c r="E67" s="322">
        <v>7.5044646153846104</v>
      </c>
      <c r="F67" s="307"/>
      <c r="N67" s="307"/>
    </row>
    <row r="68" spans="1:14" ht="12">
      <c r="A68" s="307">
        <v>42643</v>
      </c>
      <c r="B68" s="309">
        <f>SUM(vanjski_sektor!K66:K69)/1000</f>
        <v>-0.49978639900009986</v>
      </c>
      <c r="C68" s="308">
        <f>SUM(vanjski_sektor!S66:S69)/1000</f>
        <v>1.0942800343095487</v>
      </c>
      <c r="D68" s="308">
        <f>(SUM(vanjski_sektor!T66:T69)-SUM(vanjski_sektor!K66:K69))/1000</f>
        <v>3.6919861668509513</v>
      </c>
      <c r="E68" s="322">
        <v>7.4932606060606002</v>
      </c>
      <c r="F68" s="307"/>
      <c r="N68" s="307"/>
    </row>
    <row r="69" spans="1:14" ht="12">
      <c r="A69" s="307">
        <v>42735</v>
      </c>
      <c r="B69" s="309">
        <f>SUM(vanjski_sektor!K67:K70)/1000</f>
        <v>-0.26468362500010018</v>
      </c>
      <c r="C69" s="308">
        <f>SUM(vanjski_sektor!S67:S70)/1000</f>
        <v>0.99371802914583807</v>
      </c>
      <c r="D69" s="308">
        <f>(SUM(vanjski_sektor!T67:T70)-SUM(vanjski_sektor!K67:K70))/1000</f>
        <v>3.2357745095680754</v>
      </c>
      <c r="E69" s="322">
        <v>7.5227374999999999</v>
      </c>
      <c r="F69" s="307"/>
      <c r="N69" s="307"/>
    </row>
    <row r="70" spans="1:14" ht="12">
      <c r="A70" s="307">
        <v>42825</v>
      </c>
      <c r="B70" s="309">
        <f>SUM(vanjski_sektor!K68:K71)/1000</f>
        <v>2.8367595549999005</v>
      </c>
      <c r="C70" s="308">
        <f>SUM(vanjski_sektor!S68:S71)/1000</f>
        <v>1.2549325745703901</v>
      </c>
      <c r="D70" s="308">
        <f>(SUM(vanjski_sektor!T68:T71)-SUM(vanjski_sektor!K68:K71))/1000</f>
        <v>1.1836348651279605</v>
      </c>
      <c r="E70" s="322">
        <v>7.4668230769230801</v>
      </c>
      <c r="F70" s="307"/>
      <c r="N70" s="307"/>
    </row>
    <row r="71" spans="1:14" ht="12">
      <c r="A71" s="307">
        <v>42916</v>
      </c>
      <c r="B71" s="309">
        <f>SUM(vanjski_sektor!K69:K72)/1000</f>
        <v>1.3424280809999005</v>
      </c>
      <c r="C71" s="308">
        <f>SUM(vanjski_sektor!S69:S72)/1000</f>
        <v>1.2082506786850418</v>
      </c>
      <c r="D71" s="308">
        <f>(SUM(vanjski_sektor!T69:T72)-SUM(vanjski_sektor!K69:K72))/1000</f>
        <v>2.1959363885400323</v>
      </c>
      <c r="E71" s="322">
        <v>7.42950483870968</v>
      </c>
      <c r="F71" s="307"/>
      <c r="N71" s="307"/>
    </row>
    <row r="72" spans="1:14" ht="12">
      <c r="A72" s="307">
        <v>43008</v>
      </c>
      <c r="B72" s="309">
        <f>SUM(vanjski_sektor!K70:K73)/1000</f>
        <v>2.2103717390000002</v>
      </c>
      <c r="C72" s="308">
        <f>SUM(vanjski_sektor!S70:S73)/1000</f>
        <v>1.7250583622162576</v>
      </c>
      <c r="D72" s="308">
        <f>(SUM(vanjski_sektor!T70:T73)-SUM(vanjski_sektor!K70:K73))/1000</f>
        <v>2.8425803234100413</v>
      </c>
      <c r="E72" s="322">
        <v>7.4263046153846197</v>
      </c>
      <c r="F72" s="307"/>
      <c r="N72" s="307"/>
    </row>
    <row r="73" spans="1:14" ht="12">
      <c r="A73" s="307">
        <v>43100</v>
      </c>
      <c r="B73" s="309">
        <f>SUM(vanjski_sektor!K71:K74)/1000</f>
        <v>2.5931399290000003</v>
      </c>
      <c r="C73" s="308">
        <f>SUM(vanjski_sektor!S71:S74)/1000</f>
        <v>1.6785848514133641</v>
      </c>
      <c r="D73" s="308">
        <f>(SUM(vanjski_sektor!T71:T74)-SUM(vanjski_sektor!K71:K74))/1000</f>
        <v>2.1705706817363848</v>
      </c>
      <c r="E73" s="322">
        <v>7.5326984126984096</v>
      </c>
      <c r="F73" s="307"/>
      <c r="N73" s="307"/>
    </row>
    <row r="74" spans="1:14" ht="12">
      <c r="A74" s="307">
        <v>43190</v>
      </c>
      <c r="B74" s="309">
        <f>SUM(vanjski_sektor!K72:K75)/1000</f>
        <v>0.72514427404999993</v>
      </c>
      <c r="C74" s="308">
        <f>SUM(vanjski_sektor!S72:S75)/1000</f>
        <v>1.1106052901765715</v>
      </c>
      <c r="D74" s="308">
        <f>(SUM(vanjski_sektor!T72:T75)-SUM(vanjski_sektor!K72:K75))/1000</f>
        <v>2.8991963043371296</v>
      </c>
      <c r="E74" s="322">
        <v>7.4379968253968203</v>
      </c>
      <c r="F74" s="307"/>
      <c r="N74" s="307"/>
    </row>
    <row r="75" spans="1:14" ht="12">
      <c r="A75" s="307">
        <v>43281</v>
      </c>
      <c r="B75" s="309">
        <f>SUM(vanjski_sektor!K73:K76)/1000</f>
        <v>2.6334578289700001</v>
      </c>
      <c r="C75" s="308">
        <f>SUM(vanjski_sektor!S73:S76)/1000</f>
        <v>1.1811841133847447</v>
      </c>
      <c r="D75" s="308">
        <f>(SUM(vanjski_sektor!T73:T76)-SUM(vanjski_sektor!K73:K76))/1000</f>
        <v>1.3747164016159987</v>
      </c>
      <c r="E75" s="322">
        <v>7.3976333333333404</v>
      </c>
      <c r="F75" s="307"/>
      <c r="N75" s="307"/>
    </row>
    <row r="76" spans="1:14" ht="12">
      <c r="A76" s="307">
        <v>43373</v>
      </c>
      <c r="B76" s="309">
        <f>SUM(vanjski_sektor!K74:K77)/1000</f>
        <v>1.6363091218200001</v>
      </c>
      <c r="C76" s="308">
        <f>SUM(vanjski_sektor!S74:S77)/1000</f>
        <v>1.2828916792780665</v>
      </c>
      <c r="D76" s="308">
        <f>(SUM(vanjski_sektor!T74:T77)-SUM(vanjski_sektor!K74:K77))/1000</f>
        <v>2.0460941215047201</v>
      </c>
      <c r="E76" s="322">
        <v>7.4173276923076896</v>
      </c>
      <c r="F76" s="307"/>
      <c r="N76" s="307"/>
    </row>
    <row r="77" spans="1:14" ht="12">
      <c r="A77" s="307">
        <v>43465</v>
      </c>
      <c r="B77" s="309">
        <f>SUM(vanjski_sektor!K75:K78)/1000</f>
        <v>1.5450404381499998</v>
      </c>
      <c r="C77" s="308">
        <f>SUM(vanjski_sektor!S75:S78)/1000</f>
        <v>0.98208842840806487</v>
      </c>
      <c r="D77" s="308">
        <f>(SUM(vanjski_sektor!T75:T78)-SUM(vanjski_sektor!K75:K78))/1000</f>
        <v>2.0286866012917733</v>
      </c>
      <c r="E77" s="322">
        <v>7.4196703125000001</v>
      </c>
      <c r="F77" s="307"/>
      <c r="N77" s="307"/>
    </row>
    <row r="78" spans="1:14" ht="12">
      <c r="A78" s="307">
        <v>43555</v>
      </c>
      <c r="B78" s="309">
        <f>SUM(vanjski_sektor!K76:K79)/1000</f>
        <v>1.4848227883499998</v>
      </c>
      <c r="C78" s="308">
        <f>SUM(vanjski_sektor!S76:S79)/1000</f>
        <v>0.73711150286874183</v>
      </c>
      <c r="D78" s="308">
        <f>(SUM(vanjski_sektor!T76:T79)-SUM(vanjski_sektor!K76:K79))/1000</f>
        <v>1.0606029709267173</v>
      </c>
      <c r="E78" s="322">
        <v>7.4216222222222203</v>
      </c>
      <c r="F78" s="307"/>
      <c r="N78" s="307"/>
    </row>
    <row r="79" spans="1:14" ht="12">
      <c r="A79" s="307">
        <v>43646</v>
      </c>
      <c r="B79" s="309">
        <f>SUM(vanjski_sektor!K77:K80)/1000</f>
        <v>2.9914031417299998</v>
      </c>
      <c r="C79" s="308">
        <f>SUM(vanjski_sektor!S77:S80)/1000</f>
        <v>0.51604079265039038</v>
      </c>
      <c r="D79" s="308">
        <f>(SUM(vanjski_sektor!T77:T80)-SUM(vanjski_sektor!K77:K80))/1000</f>
        <v>-0.20193768361866432</v>
      </c>
      <c r="E79" s="322">
        <v>7.4183274193548403</v>
      </c>
      <c r="F79" s="307"/>
      <c r="N79" s="307"/>
    </row>
    <row r="80" spans="1:14" ht="12">
      <c r="A80" s="307">
        <v>43738</v>
      </c>
      <c r="B80" s="309">
        <f>SUM(vanjski_sektor!K78:K81)/1000</f>
        <v>3.34441078464</v>
      </c>
      <c r="C80" s="308">
        <f>SUM(vanjski_sektor!S78:S81)/1000</f>
        <v>1.2891282122551866</v>
      </c>
      <c r="D80" s="308">
        <f>(SUM(vanjski_sektor!T78:T81)-SUM(vanjski_sektor!K78:K81))/1000</f>
        <v>1.2586259015445671</v>
      </c>
      <c r="E80" s="322">
        <v>7.3935742424242399</v>
      </c>
      <c r="F80" s="307"/>
      <c r="N80" s="307"/>
    </row>
    <row r="81" spans="1:14" ht="12">
      <c r="A81" s="307">
        <v>43830</v>
      </c>
      <c r="B81" s="309">
        <f>SUM(vanjski_sektor!K79:K82)/1000</f>
        <v>0.98964903605999988</v>
      </c>
      <c r="C81" s="308">
        <f>SUM(vanjski_sektor!S79:S82)/1000</f>
        <v>1.5707723111990946</v>
      </c>
      <c r="D81" s="308">
        <f>(SUM(vanjski_sektor!T79:T82)-SUM(vanjski_sektor!K79:K82))/1000</f>
        <v>3.8443598131227237</v>
      </c>
      <c r="E81" s="322">
        <v>7.4391656250000002</v>
      </c>
      <c r="F81" s="307"/>
      <c r="N81" s="307"/>
    </row>
    <row r="82" spans="1:14" ht="12">
      <c r="A82" s="310">
        <v>43921</v>
      </c>
      <c r="B82" s="312">
        <f>SUM(vanjski_sektor!K80:K83)/1000</f>
        <v>-2.1531203967779091</v>
      </c>
      <c r="C82" s="313">
        <f>SUM(vanjski_sektor!S80:S83)/1000</f>
        <v>1.7325991059625949</v>
      </c>
      <c r="D82" s="313">
        <f>(SUM(vanjski_sektor!T80:T83)-SUM(vanjski_sektor!K80:K83))/1000</f>
        <v>4.0061866078862227</v>
      </c>
      <c r="E82" s="322">
        <v>7.4903659999999999</v>
      </c>
      <c r="N82" s="307"/>
    </row>
    <row r="83" spans="1:14" ht="12">
      <c r="A83" s="310">
        <v>44012</v>
      </c>
      <c r="B83" s="312">
        <f>SUM(vanjski_sektor!K81:K84)/1000</f>
        <v>-3.6847575280779092</v>
      </c>
      <c r="C83" s="313">
        <f>SUM(vanjski_sektor!S81:S84)/1000</f>
        <v>0.29993162305885745</v>
      </c>
      <c r="D83" s="313">
        <f>(SUM(vanjski_sektor!T81:T84)-SUM(vanjski_sektor!K81:K84))/1000</f>
        <v>2.573519124982484</v>
      </c>
      <c r="E83" s="320">
        <f>$B$96+$B$97*B83+$B$98*D83</f>
        <v>7.6643329502499631</v>
      </c>
    </row>
    <row r="84" spans="1:14" ht="12">
      <c r="A84" s="310">
        <v>44104</v>
      </c>
      <c r="B84" s="312">
        <f>SUM(vanjski_sektor!K82:K85)/1000</f>
        <v>-4.050551818837909</v>
      </c>
      <c r="C84" s="313">
        <f>SUM(vanjski_sektor!S82:S85)/1000</f>
        <v>-3.6265617001901784</v>
      </c>
      <c r="D84" s="313">
        <f>(SUM(vanjski_sektor!T82:T85)-SUM(vanjski_sektor!K82:K85))/1000</f>
        <v>-1.35297419826655</v>
      </c>
      <c r="E84" s="320">
        <f>$B$96+$B$97*B84+$B$98*D84</f>
        <v>7.6143566179710582</v>
      </c>
    </row>
    <row r="85" spans="1:14" ht="12">
      <c r="A85" s="310">
        <v>44196</v>
      </c>
      <c r="B85" s="312">
        <f>SUM(vanjski_sektor!K83:K86)/1000</f>
        <v>-2.4172278335879089</v>
      </c>
      <c r="C85" s="313">
        <f>SUM(vanjski_sektor!S83:S86)/1000</f>
        <v>-3.7759425956515451</v>
      </c>
      <c r="D85" s="313">
        <f>(SUM(vanjski_sektor!T83:T86)-SUM(vanjski_sektor!K83:K86))/1000</f>
        <v>-1.5023550937279169</v>
      </c>
      <c r="E85" s="320">
        <f>$B$96+$B$97*B85+$B$98*D85</f>
        <v>7.5667476743761419</v>
      </c>
    </row>
    <row r="90" spans="1:14" ht="14.4">
      <c r="A90" s="324" t="s">
        <v>999</v>
      </c>
      <c r="B90" s="109" t="s">
        <v>185</v>
      </c>
      <c r="C90" s="109" t="s">
        <v>186</v>
      </c>
      <c r="D90" s="109" t="s">
        <v>187</v>
      </c>
      <c r="E90" s="109" t="s">
        <v>188</v>
      </c>
    </row>
    <row r="91" spans="1:14" ht="14.4">
      <c r="A91" s="109" t="s">
        <v>192</v>
      </c>
      <c r="B91" s="323">
        <v>7.5333439999999996</v>
      </c>
      <c r="C91" s="323">
        <v>1.8232000000000002E-2</v>
      </c>
      <c r="D91" s="323">
        <v>413.18200000000002</v>
      </c>
      <c r="E91" s="323" t="s">
        <v>957</v>
      </c>
    </row>
    <row r="92" spans="1:14" ht="14.4">
      <c r="A92" s="109" t="s">
        <v>968</v>
      </c>
      <c r="B92" s="323">
        <v>-4.2880000000000001E-2</v>
      </c>
      <c r="C92" s="323">
        <v>1.2670000000000001E-2</v>
      </c>
      <c r="D92" s="323">
        <v>-3.3839999999999999</v>
      </c>
      <c r="E92" s="323">
        <v>1.14E-3</v>
      </c>
    </row>
    <row r="93" spans="1:14" ht="14.4">
      <c r="A93" s="109" t="s">
        <v>969</v>
      </c>
      <c r="B93" s="323">
        <v>4.1554000000000001E-2</v>
      </c>
      <c r="C93" s="323">
        <v>6.4140000000000004E-3</v>
      </c>
      <c r="D93" s="323">
        <v>6.4790000000000001</v>
      </c>
      <c r="E93" s="323">
        <v>9.0599999999999997E-9</v>
      </c>
    </row>
    <row r="95" spans="1:14" ht="14.4">
      <c r="A95" s="324" t="s">
        <v>1000</v>
      </c>
      <c r="B95" s="109" t="s">
        <v>185</v>
      </c>
      <c r="C95" s="109" t="s">
        <v>186</v>
      </c>
      <c r="D95" s="109" t="s">
        <v>187</v>
      </c>
      <c r="E95" s="109" t="s">
        <v>188</v>
      </c>
    </row>
    <row r="96" spans="1:14" ht="14.4">
      <c r="A96" s="109" t="s">
        <v>192</v>
      </c>
      <c r="B96" s="323">
        <v>7.5226800000000003</v>
      </c>
      <c r="C96" s="323">
        <v>1.8128999999999999E-2</v>
      </c>
      <c r="D96" s="323">
        <v>414.96100000000001</v>
      </c>
      <c r="E96" s="323" t="s">
        <v>957</v>
      </c>
    </row>
    <row r="97" spans="1:5" ht="14.4">
      <c r="A97" s="109" t="s">
        <v>968</v>
      </c>
      <c r="B97" s="323">
        <v>-2.7747999999999998E-2</v>
      </c>
      <c r="C97" s="323">
        <v>1.2638E-2</v>
      </c>
      <c r="D97" s="323">
        <v>-2.1960000000000002</v>
      </c>
      <c r="E97" s="323">
        <v>3.1300000000000001E-2</v>
      </c>
    </row>
    <row r="98" spans="1:5" ht="14.4">
      <c r="A98" s="109" t="s">
        <v>970</v>
      </c>
      <c r="B98" s="323">
        <v>1.5313E-2</v>
      </c>
      <c r="C98" s="323">
        <v>2.5730000000000002E-3</v>
      </c>
      <c r="D98" s="323">
        <v>5.952</v>
      </c>
      <c r="E98" s="323">
        <v>8.1800000000000005E-8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abSelected="1" topLeftCell="Z90" zoomScale="104" workbookViewId="0">
      <selection activeCell="AE111" sqref="AE111"/>
    </sheetView>
  </sheetViews>
  <sheetFormatPr defaultColWidth="12.59765625" defaultRowHeight="15" customHeight="1"/>
  <cols>
    <col min="1" max="1" width="29.69921875" customWidth="1"/>
    <col min="2" max="2" width="36.09765625" customWidth="1"/>
    <col min="3" max="3" width="31.19921875" customWidth="1"/>
    <col min="4" max="4" width="39.69921875" customWidth="1"/>
    <col min="5" max="5" width="17.19921875" customWidth="1"/>
    <col min="6" max="6" width="7.69921875" customWidth="1"/>
    <col min="7" max="7" width="14.09765625" customWidth="1"/>
    <col min="8" max="11" width="7.69921875" customWidth="1"/>
    <col min="12" max="12" width="47.8984375" customWidth="1"/>
    <col min="13" max="35" width="7.69921875" customWidth="1"/>
    <col min="36" max="36" width="13.69921875" customWidth="1"/>
    <col min="37" max="37" width="7.69921875" customWidth="1"/>
    <col min="38" max="38" width="13.69921875" customWidth="1"/>
    <col min="39" max="39" width="2.5" customWidth="1"/>
    <col min="40" max="40" width="48.3984375" customWidth="1"/>
    <col min="41" max="41" width="14.5" customWidth="1"/>
    <col min="42" max="42" width="17.3984375" customWidth="1"/>
    <col min="43" max="48" width="14.5" customWidth="1"/>
    <col min="49" max="49" width="19" customWidth="1"/>
    <col min="50" max="50" width="18.69921875" customWidth="1"/>
    <col min="51" max="51" width="17.3984375" customWidth="1"/>
    <col min="52" max="52" width="19.09765625" customWidth="1"/>
    <col min="53" max="60" width="17.69921875" customWidth="1"/>
    <col min="61" max="61" width="7.69921875" customWidth="1"/>
    <col min="62" max="62" width="20.69921875" customWidth="1"/>
  </cols>
  <sheetData>
    <row r="1" spans="1:62" ht="14.25" customHeight="1">
      <c r="A1" s="10" t="s">
        <v>23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/>
      <c r="I1" s="10"/>
      <c r="J1" s="14"/>
      <c r="K1" s="14"/>
      <c r="L1" s="16"/>
      <c r="M1" s="18" t="s">
        <v>36</v>
      </c>
      <c r="N1" s="18" t="s">
        <v>39</v>
      </c>
      <c r="O1" s="18" t="s">
        <v>40</v>
      </c>
      <c r="P1" s="18" t="s">
        <v>41</v>
      </c>
      <c r="Q1" s="18" t="s">
        <v>42</v>
      </c>
      <c r="R1" s="18" t="s">
        <v>43</v>
      </c>
      <c r="S1" s="18" t="s">
        <v>44</v>
      </c>
      <c r="T1" s="18" t="s">
        <v>45</v>
      </c>
      <c r="U1" s="28" t="s">
        <v>46</v>
      </c>
      <c r="V1" s="29" t="s">
        <v>48</v>
      </c>
      <c r="W1" s="29" t="s">
        <v>49</v>
      </c>
      <c r="X1" s="29" t="s">
        <v>50</v>
      </c>
      <c r="Y1" s="29" t="s">
        <v>51</v>
      </c>
      <c r="Z1" s="29" t="s">
        <v>52</v>
      </c>
      <c r="AA1" s="29" t="s">
        <v>53</v>
      </c>
      <c r="AB1" s="29" t="s">
        <v>54</v>
      </c>
      <c r="AC1" s="29" t="s">
        <v>55</v>
      </c>
      <c r="AD1" s="29" t="s">
        <v>56</v>
      </c>
      <c r="AE1" s="29" t="s">
        <v>57</v>
      </c>
      <c r="AF1" s="29" t="s">
        <v>58</v>
      </c>
      <c r="AG1" s="29" t="s">
        <v>59</v>
      </c>
      <c r="AH1" s="29" t="s">
        <v>60</v>
      </c>
      <c r="AI1" s="29" t="s">
        <v>61</v>
      </c>
      <c r="AJ1" s="33" t="s">
        <v>62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349" t="s">
        <v>5</v>
      </c>
      <c r="AX1" s="350"/>
      <c r="AY1" s="350"/>
      <c r="AZ1" s="351"/>
      <c r="BA1" s="352" t="s">
        <v>6</v>
      </c>
      <c r="BB1" s="350"/>
      <c r="BC1" s="350"/>
      <c r="BD1" s="351"/>
      <c r="BE1" s="353" t="s">
        <v>7</v>
      </c>
      <c r="BF1" s="350"/>
      <c r="BG1" s="350"/>
      <c r="BH1" s="351"/>
      <c r="BI1" s="10"/>
      <c r="BJ1" s="38" t="s">
        <v>63</v>
      </c>
    </row>
    <row r="2" spans="1:62" ht="14.25" customHeight="1">
      <c r="A2" s="10" t="s">
        <v>64</v>
      </c>
      <c r="B2" s="10" t="s">
        <v>65</v>
      </c>
      <c r="C2" s="10" t="s">
        <v>66</v>
      </c>
      <c r="D2" s="10" t="s">
        <v>66</v>
      </c>
      <c r="E2" s="31">
        <v>151484000</v>
      </c>
      <c r="F2" s="39">
        <v>-0.2</v>
      </c>
      <c r="G2" s="40">
        <f t="shared" ref="G2:G413" si="0">E2*F2</f>
        <v>-30296800</v>
      </c>
      <c r="H2" s="10"/>
      <c r="I2" s="10"/>
      <c r="J2" s="41" t="s">
        <v>67</v>
      </c>
      <c r="K2" s="43" t="s">
        <v>68</v>
      </c>
      <c r="L2" s="44"/>
      <c r="M2" s="45">
        <v>6692.14652850939</v>
      </c>
      <c r="N2" s="45">
        <v>7295.8345731815616</v>
      </c>
      <c r="O2" s="45">
        <v>7760.5216337422607</v>
      </c>
      <c r="P2" s="45">
        <v>8708.777156567643</v>
      </c>
      <c r="Q2" s="45">
        <v>9081.1538675187167</v>
      </c>
      <c r="R2" s="45">
        <v>8969.6206754221021</v>
      </c>
      <c r="S2" s="45">
        <v>9630.5581958168441</v>
      </c>
      <c r="T2" s="45">
        <v>10323.759481062994</v>
      </c>
      <c r="U2" s="45">
        <v>9240.2151674265442</v>
      </c>
      <c r="V2" s="45">
        <v>11194.747107598354</v>
      </c>
      <c r="W2" s="45">
        <v>10540.38772804733</v>
      </c>
      <c r="X2" s="45">
        <v>11836.555906432677</v>
      </c>
      <c r="Y2" s="45">
        <v>12029.30918575278</v>
      </c>
      <c r="Z2" s="45">
        <v>13800.412182701606</v>
      </c>
      <c r="AA2" s="45">
        <v>13373.303477106065</v>
      </c>
      <c r="AB2" s="45">
        <v>12158.857503092979</v>
      </c>
      <c r="AC2" s="45">
        <v>12263.371853074932</v>
      </c>
      <c r="AD2" s="45">
        <v>11039.279971272468</v>
      </c>
      <c r="AE2" s="45">
        <v>11602.727646247509</v>
      </c>
      <c r="AF2" s="45">
        <v>9900.7687625172348</v>
      </c>
      <c r="AG2" s="45">
        <v>10227.931677629154</v>
      </c>
      <c r="AH2" s="45">
        <v>10922.754333339015</v>
      </c>
      <c r="AI2" s="45">
        <v>10757.485675</v>
      </c>
      <c r="AJ2" s="47">
        <v>0</v>
      </c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48">
        <f>0.33</f>
        <v>0.33</v>
      </c>
      <c r="AX2" s="49">
        <v>1</v>
      </c>
      <c r="AY2" s="49">
        <v>0.66</v>
      </c>
      <c r="AZ2" s="50">
        <v>0.33</v>
      </c>
      <c r="BA2" s="48">
        <f>0.33</f>
        <v>0.33</v>
      </c>
      <c r="BB2" s="49">
        <v>1</v>
      </c>
      <c r="BC2" s="49">
        <v>0.5</v>
      </c>
      <c r="BD2" s="50">
        <v>0.2</v>
      </c>
      <c r="BE2" s="48">
        <f>0.33</f>
        <v>0.33</v>
      </c>
      <c r="BF2" s="49">
        <v>1</v>
      </c>
      <c r="BG2" s="49">
        <v>0.33</v>
      </c>
      <c r="BH2" s="50">
        <v>0</v>
      </c>
      <c r="BI2" s="10"/>
      <c r="BJ2" s="51">
        <v>0.17</v>
      </c>
    </row>
    <row r="3" spans="1:62" ht="14.25" customHeight="1">
      <c r="A3" s="10" t="s">
        <v>64</v>
      </c>
      <c r="B3" s="10" t="s">
        <v>70</v>
      </c>
      <c r="C3" s="10" t="s">
        <v>71</v>
      </c>
      <c r="D3" s="10" t="s">
        <v>72</v>
      </c>
      <c r="E3" s="31">
        <v>137101000</v>
      </c>
      <c r="F3" s="39">
        <v>-0.2</v>
      </c>
      <c r="G3" s="40">
        <f t="shared" si="0"/>
        <v>-27420200</v>
      </c>
      <c r="H3" s="10"/>
      <c r="I3" s="10"/>
      <c r="J3" s="41" t="s">
        <v>73</v>
      </c>
      <c r="K3" s="43" t="s">
        <v>74</v>
      </c>
      <c r="L3" s="44"/>
      <c r="M3" s="52">
        <v>294.60686713368318</v>
      </c>
      <c r="N3" s="52">
        <v>227.49873726313399</v>
      </c>
      <c r="O3" s="52">
        <v>712.59057421831676</v>
      </c>
      <c r="P3" s="52">
        <v>691.24233581125179</v>
      </c>
      <c r="Q3" s="52">
        <v>748.57311657672051</v>
      </c>
      <c r="R3" s="52">
        <v>1002.0085122612363</v>
      </c>
      <c r="S3" s="52">
        <v>823.79343190470934</v>
      </c>
      <c r="T3" s="52">
        <v>1228.3933401414799</v>
      </c>
      <c r="U3" s="52">
        <v>1079.3406730519232</v>
      </c>
      <c r="V3" s="52">
        <v>1687.22895433807</v>
      </c>
      <c r="W3" s="52">
        <v>1980.5456591016637</v>
      </c>
      <c r="X3" s="52">
        <v>2984.0333776200009</v>
      </c>
      <c r="Y3" s="52">
        <v>2393.5280892920418</v>
      </c>
      <c r="Z3" s="52">
        <v>2570.8399112918182</v>
      </c>
      <c r="AA3" s="52">
        <v>2874.8890767471994</v>
      </c>
      <c r="AB3" s="52">
        <v>2717.5843334346978</v>
      </c>
      <c r="AC3" s="52">
        <v>2601.3377268305644</v>
      </c>
      <c r="AD3" s="52">
        <v>2606.7983801890496</v>
      </c>
      <c r="AE3" s="52">
        <v>2899.3931541349375</v>
      </c>
      <c r="AF3" s="52">
        <v>2278.8127616542602</v>
      </c>
      <c r="AG3" s="52">
        <v>1553.9509280259972</v>
      </c>
      <c r="AH3" s="52">
        <v>1122.6783375525356</v>
      </c>
      <c r="AI3" s="52">
        <v>1167.2258549999999</v>
      </c>
      <c r="AJ3" s="47">
        <v>-0.2</v>
      </c>
      <c r="AK3" s="10"/>
      <c r="AL3" s="33" t="s">
        <v>62</v>
      </c>
      <c r="AM3" s="354" t="s">
        <v>75</v>
      </c>
      <c r="AN3" s="355"/>
      <c r="AO3" s="53">
        <v>43190</v>
      </c>
      <c r="AP3" s="54">
        <v>43281</v>
      </c>
      <c r="AQ3" s="54">
        <v>43373</v>
      </c>
      <c r="AR3" s="56">
        <v>43465</v>
      </c>
      <c r="AS3" s="53">
        <v>43555</v>
      </c>
      <c r="AT3" s="54">
        <v>43646</v>
      </c>
      <c r="AU3" s="54">
        <v>43738</v>
      </c>
      <c r="AV3" s="54">
        <v>43830</v>
      </c>
      <c r="AW3" s="58">
        <v>43555</v>
      </c>
      <c r="AX3" s="59">
        <v>43646</v>
      </c>
      <c r="AY3" s="59">
        <v>43738</v>
      </c>
      <c r="AZ3" s="60">
        <v>43830</v>
      </c>
      <c r="BA3" s="58">
        <v>43555</v>
      </c>
      <c r="BB3" s="59">
        <v>43646</v>
      </c>
      <c r="BC3" s="59">
        <v>43738</v>
      </c>
      <c r="BD3" s="60">
        <v>43830</v>
      </c>
      <c r="BE3" s="58">
        <v>43555</v>
      </c>
      <c r="BF3" s="59">
        <v>43646</v>
      </c>
      <c r="BG3" s="59">
        <v>43738</v>
      </c>
      <c r="BH3" s="60">
        <v>43830</v>
      </c>
      <c r="BI3" s="10"/>
      <c r="BJ3" s="10"/>
    </row>
    <row r="4" spans="1:62" ht="14.25" customHeight="1">
      <c r="A4" s="10" t="s">
        <v>64</v>
      </c>
      <c r="B4" s="10" t="s">
        <v>70</v>
      </c>
      <c r="C4" s="10" t="s">
        <v>71</v>
      </c>
      <c r="D4" s="10" t="s">
        <v>77</v>
      </c>
      <c r="E4" s="31">
        <v>334840000</v>
      </c>
      <c r="F4" s="39">
        <v>-0.2</v>
      </c>
      <c r="G4" s="40">
        <f t="shared" si="0"/>
        <v>-66968000</v>
      </c>
      <c r="H4" s="10"/>
      <c r="I4" s="10"/>
      <c r="J4" s="41" t="s">
        <v>78</v>
      </c>
      <c r="K4" s="61">
        <v>10</v>
      </c>
      <c r="L4" s="61" t="s">
        <v>79</v>
      </c>
      <c r="M4" s="52">
        <v>3756.3631887162551</v>
      </c>
      <c r="N4" s="52">
        <v>3642.9416846787203</v>
      </c>
      <c r="O4" s="52">
        <v>4304.146232358994</v>
      </c>
      <c r="P4" s="52">
        <v>4567.527202150608</v>
      </c>
      <c r="Q4" s="52">
        <v>4595.7415896193424</v>
      </c>
      <c r="R4" s="52">
        <v>4780.0106471010513</v>
      </c>
      <c r="S4" s="52">
        <v>4882.6377944599099</v>
      </c>
      <c r="T4" s="52">
        <v>5386.0196404772278</v>
      </c>
      <c r="U4" s="52">
        <v>5750.4676596190948</v>
      </c>
      <c r="V4" s="52">
        <v>6448.4105451432624</v>
      </c>
      <c r="W4" s="52">
        <v>6777.8005279166046</v>
      </c>
      <c r="X4" s="52">
        <v>7346.2300522835239</v>
      </c>
      <c r="Y4" s="52">
        <v>7482.3487023242606</v>
      </c>
      <c r="Z4" s="52">
        <v>7983.2211042645304</v>
      </c>
      <c r="AA4" s="52">
        <v>8027.1775883717955</v>
      </c>
      <c r="AB4" s="52">
        <v>8176.6507677499767</v>
      </c>
      <c r="AC4" s="52">
        <v>8746.8177753760719</v>
      </c>
      <c r="AD4" s="52">
        <v>8640.8518494527852</v>
      </c>
      <c r="AE4" s="52">
        <v>8579.2940712544478</v>
      </c>
      <c r="AF4" s="52">
        <v>8443.1460103933678</v>
      </c>
      <c r="AG4" s="52">
        <v>8385.4735927248239</v>
      </c>
      <c r="AH4" s="52">
        <v>8373.0533088516077</v>
      </c>
      <c r="AI4" s="52">
        <v>8278.2249240000001</v>
      </c>
      <c r="AJ4" s="47">
        <v>0</v>
      </c>
      <c r="AK4" s="402"/>
      <c r="AL4" s="47">
        <f t="shared" ref="AL4:AL5" si="1">AJ2</f>
        <v>0</v>
      </c>
      <c r="AM4" s="62" t="s">
        <v>67</v>
      </c>
      <c r="AN4" s="63" t="s">
        <v>68</v>
      </c>
      <c r="AO4" s="64">
        <v>2128030581.3025987</v>
      </c>
      <c r="AP4" s="65">
        <v>2586014001.3801842</v>
      </c>
      <c r="AQ4" s="65">
        <v>2939046743.0090642</v>
      </c>
      <c r="AR4" s="66">
        <v>3282897981.331358</v>
      </c>
      <c r="AS4" s="64">
        <v>2138653206.428669</v>
      </c>
      <c r="AT4" s="65">
        <v>2576476751.0098729</v>
      </c>
      <c r="AU4" s="65">
        <v>3143556418.7833858</v>
      </c>
      <c r="AV4" s="67">
        <v>3263518014.3418083</v>
      </c>
      <c r="AW4" s="68">
        <f t="shared" ref="AW4:AZ4" si="2">AS4*(1+$AL4*AW$2)</f>
        <v>2138653206.428669</v>
      </c>
      <c r="AX4" s="69">
        <f t="shared" si="2"/>
        <v>2576476751.0098729</v>
      </c>
      <c r="AY4" s="69">
        <f t="shared" si="2"/>
        <v>3143556418.7833858</v>
      </c>
      <c r="AZ4" s="70">
        <f t="shared" si="2"/>
        <v>3263518014.3418083</v>
      </c>
      <c r="BA4" s="68">
        <f t="shared" ref="BA4:BD4" si="3">AS4*(1+$AL4*BA$2)</f>
        <v>2138653206.428669</v>
      </c>
      <c r="BB4" s="69">
        <f t="shared" si="3"/>
        <v>2576476751.0098729</v>
      </c>
      <c r="BC4" s="69">
        <f t="shared" si="3"/>
        <v>3143556418.7833858</v>
      </c>
      <c r="BD4" s="70">
        <f t="shared" si="3"/>
        <v>3263518014.3418083</v>
      </c>
      <c r="BE4" s="68">
        <f t="shared" ref="BE4:BH4" si="4">AS4*(1+$AL4*BE$2)</f>
        <v>2138653206.428669</v>
      </c>
      <c r="BF4" s="69">
        <f t="shared" si="4"/>
        <v>2576476751.0098729</v>
      </c>
      <c r="BG4" s="69">
        <f t="shared" si="4"/>
        <v>3143556418.7833858</v>
      </c>
      <c r="BH4" s="70">
        <f t="shared" si="4"/>
        <v>3263518014.3418083</v>
      </c>
      <c r="BI4" s="10"/>
      <c r="BJ4" s="10"/>
    </row>
    <row r="5" spans="1:62" ht="14.25" customHeight="1">
      <c r="A5" s="10" t="s">
        <v>64</v>
      </c>
      <c r="B5" s="10" t="s">
        <v>70</v>
      </c>
      <c r="C5" s="10" t="s">
        <v>80</v>
      </c>
      <c r="D5" s="10" t="s">
        <v>81</v>
      </c>
      <c r="E5" s="31">
        <v>19938000</v>
      </c>
      <c r="F5" s="39">
        <v>-0.2</v>
      </c>
      <c r="G5" s="40">
        <f t="shared" si="0"/>
        <v>-3987600</v>
      </c>
      <c r="H5" s="10"/>
      <c r="I5" s="10"/>
      <c r="J5" s="41"/>
      <c r="K5" s="61">
        <v>11</v>
      </c>
      <c r="L5" s="61" t="s">
        <v>82</v>
      </c>
      <c r="M5" s="52">
        <v>973.85497249735022</v>
      </c>
      <c r="N5" s="52">
        <v>944.38453517585083</v>
      </c>
      <c r="O5" s="52">
        <v>1116.7973909939728</v>
      </c>
      <c r="P5" s="52">
        <v>1184.8377893572765</v>
      </c>
      <c r="Q5" s="52">
        <v>1191.2507949113192</v>
      </c>
      <c r="R5" s="52">
        <v>1256.2796475440716</v>
      </c>
      <c r="S5" s="52">
        <v>1302.2169296175446</v>
      </c>
      <c r="T5" s="52">
        <v>1424.2517243898326</v>
      </c>
      <c r="U5" s="52">
        <v>1522.8998203137498</v>
      </c>
      <c r="V5" s="52">
        <v>1705.6930450203804</v>
      </c>
      <c r="W5" s="52">
        <v>1811.2452856142215</v>
      </c>
      <c r="X5" s="52">
        <v>1963.3043714086657</v>
      </c>
      <c r="Y5" s="52">
        <v>2006.8332609281358</v>
      </c>
      <c r="Z5" s="52">
        <v>2216.1400583720597</v>
      </c>
      <c r="AA5" s="52">
        <v>2315.6922041483899</v>
      </c>
      <c r="AB5" s="52">
        <v>2212.0983965318424</v>
      </c>
      <c r="AC5" s="52">
        <v>2399.3552816557476</v>
      </c>
      <c r="AD5" s="52">
        <v>2355.9888259335507</v>
      </c>
      <c r="AE5" s="52">
        <v>2301.2124987090901</v>
      </c>
      <c r="AF5" s="52">
        <v>2238.1051883077271</v>
      </c>
      <c r="AG5" s="52">
        <v>2223.7234438737009</v>
      </c>
      <c r="AH5" s="52">
        <v>2228.2180467762109</v>
      </c>
      <c r="AI5" s="52">
        <v>2341.609011</v>
      </c>
      <c r="AJ5" s="47">
        <v>0</v>
      </c>
      <c r="AK5" s="402"/>
      <c r="AL5" s="47">
        <f t="shared" si="1"/>
        <v>-0.2</v>
      </c>
      <c r="AM5" s="71" t="s">
        <v>73</v>
      </c>
      <c r="AN5" s="72" t="s">
        <v>74</v>
      </c>
      <c r="AO5" s="73">
        <v>245201738.92241812</v>
      </c>
      <c r="AP5" s="67">
        <v>296056818.21981716</v>
      </c>
      <c r="AQ5" s="67">
        <v>292124429.29865789</v>
      </c>
      <c r="AR5" s="66">
        <v>274454539.20886302</v>
      </c>
      <c r="AS5" s="73">
        <v>244769214.86324182</v>
      </c>
      <c r="AT5" s="67">
        <v>276790416.12074578</v>
      </c>
      <c r="AU5" s="67">
        <v>287576014.11726987</v>
      </c>
      <c r="AV5" s="67">
        <v>282157067.48887217</v>
      </c>
      <c r="AW5" s="68">
        <f t="shared" ref="AW5:AZ5" si="5">AS5*(1+$AL5*AW$2)</f>
        <v>228614446.68226784</v>
      </c>
      <c r="AX5" s="69">
        <f t="shared" si="5"/>
        <v>221432332.89659664</v>
      </c>
      <c r="AY5" s="69">
        <f t="shared" si="5"/>
        <v>249615980.25379026</v>
      </c>
      <c r="AZ5" s="70">
        <f t="shared" si="5"/>
        <v>263534701.03460658</v>
      </c>
      <c r="BA5" s="68">
        <f t="shared" ref="BA5:BD5" si="6">AS5*(1+$AL5*BA$2)</f>
        <v>228614446.68226784</v>
      </c>
      <c r="BB5" s="69">
        <f t="shared" si="6"/>
        <v>221432332.89659664</v>
      </c>
      <c r="BC5" s="69">
        <f t="shared" si="6"/>
        <v>258818412.70554289</v>
      </c>
      <c r="BD5" s="70">
        <f t="shared" si="6"/>
        <v>270870784.78931725</v>
      </c>
      <c r="BE5" s="68">
        <f t="shared" ref="BE5:BH5" si="7">AS5*(1+$AL5*BE$2)</f>
        <v>228614446.68226784</v>
      </c>
      <c r="BF5" s="69">
        <f t="shared" si="7"/>
        <v>221432332.89659664</v>
      </c>
      <c r="BG5" s="69">
        <f t="shared" si="7"/>
        <v>268595997.18553007</v>
      </c>
      <c r="BH5" s="70">
        <f t="shared" si="7"/>
        <v>282157067.48887217</v>
      </c>
      <c r="BI5" s="10"/>
      <c r="BJ5" s="10"/>
    </row>
    <row r="6" spans="1:62" ht="14.25" customHeight="1">
      <c r="A6" s="10" t="s">
        <v>64</v>
      </c>
      <c r="B6" s="10" t="s">
        <v>70</v>
      </c>
      <c r="C6" s="10" t="s">
        <v>80</v>
      </c>
      <c r="D6" s="10" t="s">
        <v>83</v>
      </c>
      <c r="E6" s="31">
        <v>6869000</v>
      </c>
      <c r="F6" s="39">
        <v>-0.2</v>
      </c>
      <c r="G6" s="40">
        <f t="shared" si="0"/>
        <v>-1373800</v>
      </c>
      <c r="H6" s="10"/>
      <c r="I6" s="10"/>
      <c r="J6" s="41"/>
      <c r="K6" s="61">
        <v>12</v>
      </c>
      <c r="L6" s="61" t="s">
        <v>84</v>
      </c>
      <c r="M6" s="52">
        <v>442.78824617941069</v>
      </c>
      <c r="N6" s="52">
        <v>450.14152529005491</v>
      </c>
      <c r="O6" s="52">
        <v>302.26138770001864</v>
      </c>
      <c r="P6" s="52">
        <v>452.88530470956789</v>
      </c>
      <c r="Q6" s="52">
        <v>493.91396003531804</v>
      </c>
      <c r="R6" s="52">
        <v>696.62259504375049</v>
      </c>
      <c r="S6" s="52">
        <v>709.1023222285263</v>
      </c>
      <c r="T6" s="52">
        <v>789.91674543326644</v>
      </c>
      <c r="U6" s="52">
        <v>871.87395555021283</v>
      </c>
      <c r="V6" s="52">
        <v>916.7646847615747</v>
      </c>
      <c r="W6" s="52">
        <v>909.99325257156204</v>
      </c>
      <c r="X6" s="52">
        <v>917.15130165872813</v>
      </c>
      <c r="Y6" s="52">
        <v>1029.9145406133957</v>
      </c>
      <c r="Z6" s="52">
        <v>1097.560105</v>
      </c>
      <c r="AA6" s="52">
        <v>807.12121999999999</v>
      </c>
      <c r="AB6" s="52">
        <v>715.30734500000005</v>
      </c>
      <c r="AC6" s="52">
        <v>685.113114</v>
      </c>
      <c r="AD6" s="52">
        <v>682.71100799999999</v>
      </c>
      <c r="AE6" s="52">
        <v>556.94512899999995</v>
      </c>
      <c r="AF6" s="52">
        <v>454.38487900000001</v>
      </c>
      <c r="AG6" s="52">
        <v>335.89249899999999</v>
      </c>
      <c r="AH6" s="52">
        <v>326.1110263498399</v>
      </c>
      <c r="AI6" s="52">
        <v>398.48238900000001</v>
      </c>
      <c r="AJ6" s="47">
        <v>0</v>
      </c>
      <c r="AK6" s="402"/>
      <c r="AL6" s="47">
        <f>SUMPRODUCT(AI4:AI27,AJ4:AJ27)/SUM(AI4:AI27)</f>
        <v>-0.2478229848390735</v>
      </c>
      <c r="AM6" s="71" t="s">
        <v>78</v>
      </c>
      <c r="AN6" s="72" t="s">
        <v>85</v>
      </c>
      <c r="AO6" s="73">
        <v>11115808136.333574</v>
      </c>
      <c r="AP6" s="67">
        <v>12445874744.020388</v>
      </c>
      <c r="AQ6" s="67">
        <v>11980072355.580479</v>
      </c>
      <c r="AR6" s="66">
        <v>12395078360.044758</v>
      </c>
      <c r="AS6" s="73">
        <v>11478467006.355553</v>
      </c>
      <c r="AT6" s="67">
        <v>12296582591.554277</v>
      </c>
      <c r="AU6" s="67">
        <v>12121488399.740868</v>
      </c>
      <c r="AV6" s="67">
        <v>12187964552.525343</v>
      </c>
      <c r="AW6" s="68">
        <f t="shared" ref="AW6:AZ6" si="8">AS6*(1+$AL6*AW$2)</f>
        <v>10539739781.24124</v>
      </c>
      <c r="AX6" s="69">
        <f t="shared" si="8"/>
        <v>9249206790.3951073</v>
      </c>
      <c r="AY6" s="69">
        <f t="shared" si="8"/>
        <v>10138859332.036316</v>
      </c>
      <c r="AZ6" s="70">
        <f t="shared" si="8"/>
        <v>11191213493.533857</v>
      </c>
      <c r="BA6" s="68">
        <f t="shared" ref="BA6:BD6" si="9">AS6*(1+$AL6*BA$2)</f>
        <v>10539739781.24124</v>
      </c>
      <c r="BB6" s="69">
        <f t="shared" si="9"/>
        <v>9249206790.3951073</v>
      </c>
      <c r="BC6" s="69">
        <f t="shared" si="9"/>
        <v>10619496681.782873</v>
      </c>
      <c r="BD6" s="70">
        <f t="shared" si="9"/>
        <v>11583873001.621412</v>
      </c>
      <c r="BE6" s="68">
        <f t="shared" ref="BE6:BH6" si="10">AS6*(1+$AL6*BE$2)</f>
        <v>10539739781.24124</v>
      </c>
      <c r="BF6" s="69">
        <f t="shared" si="10"/>
        <v>9249206790.3951073</v>
      </c>
      <c r="BG6" s="69">
        <f t="shared" si="10"/>
        <v>11130173865.888592</v>
      </c>
      <c r="BH6" s="70">
        <f t="shared" si="10"/>
        <v>12187964552.525343</v>
      </c>
      <c r="BI6" s="10"/>
      <c r="BJ6" s="10"/>
    </row>
    <row r="7" spans="1:62" ht="14.25" customHeight="1">
      <c r="A7" s="10" t="s">
        <v>64</v>
      </c>
      <c r="B7" s="10" t="s">
        <v>86</v>
      </c>
      <c r="C7" s="10" t="s">
        <v>87</v>
      </c>
      <c r="D7" s="10" t="s">
        <v>87</v>
      </c>
      <c r="E7" s="31">
        <v>403032000</v>
      </c>
      <c r="F7" s="39">
        <v>-0.2</v>
      </c>
      <c r="G7" s="40">
        <f t="shared" si="0"/>
        <v>-80606400</v>
      </c>
      <c r="H7" s="10"/>
      <c r="I7" s="10"/>
      <c r="J7" s="41"/>
      <c r="K7" s="61">
        <v>13</v>
      </c>
      <c r="L7" s="61" t="s">
        <v>88</v>
      </c>
      <c r="M7" s="52">
        <v>388.62748402739572</v>
      </c>
      <c r="N7" s="52">
        <v>363.30190009307859</v>
      </c>
      <c r="O7" s="52">
        <v>350.92261082858073</v>
      </c>
      <c r="P7" s="52">
        <v>382.41791114471874</v>
      </c>
      <c r="Q7" s="52">
        <v>376.83406334515416</v>
      </c>
      <c r="R7" s="52">
        <v>384.87779965184393</v>
      </c>
      <c r="S7" s="52">
        <v>372.58327010875234</v>
      </c>
      <c r="T7" s="52">
        <v>398.60921842181767</v>
      </c>
      <c r="U7" s="52">
        <v>431.50203317250572</v>
      </c>
      <c r="V7" s="52">
        <v>469.27141081564366</v>
      </c>
      <c r="W7" s="52">
        <v>463.43525252992953</v>
      </c>
      <c r="X7" s="52">
        <v>502.40349349131623</v>
      </c>
      <c r="Y7" s="52">
        <v>554.03766066691173</v>
      </c>
      <c r="Z7" s="52">
        <v>547.69347468352987</v>
      </c>
      <c r="AA7" s="52">
        <v>451.40647881052206</v>
      </c>
      <c r="AB7" s="52">
        <v>458.94919824586748</v>
      </c>
      <c r="AC7" s="52">
        <v>433.13246893038752</v>
      </c>
      <c r="AD7" s="52">
        <v>423.82827293363619</v>
      </c>
      <c r="AE7" s="52">
        <v>483.40947064125612</v>
      </c>
      <c r="AF7" s="52">
        <v>474.50804571884754</v>
      </c>
      <c r="AG7" s="52">
        <v>473.47183071486569</v>
      </c>
      <c r="AH7" s="52">
        <v>468.68036905036365</v>
      </c>
      <c r="AI7" s="52">
        <v>484.67153999999999</v>
      </c>
      <c r="AJ7" s="47">
        <f>SUMPRODUCT(E29:E38,F29:F38)/SUM(E29:E38)</f>
        <v>-0.42135497749724021</v>
      </c>
      <c r="AK7" s="402"/>
      <c r="AL7" s="47">
        <f t="shared" ref="AL7:AL23" si="11">AJ28</f>
        <v>0</v>
      </c>
      <c r="AM7" s="71" t="s">
        <v>89</v>
      </c>
      <c r="AN7" s="72" t="s">
        <v>90</v>
      </c>
      <c r="AO7" s="73">
        <v>2591294228.2941875</v>
      </c>
      <c r="AP7" s="67">
        <v>1829909233.8663068</v>
      </c>
      <c r="AQ7" s="67">
        <v>1951952385.9830117</v>
      </c>
      <c r="AR7" s="66">
        <v>2364197604.8686857</v>
      </c>
      <c r="AS7" s="73">
        <v>2633520503.4667788</v>
      </c>
      <c r="AT7" s="67">
        <v>2071715479.0918543</v>
      </c>
      <c r="AU7" s="67">
        <v>2114643909.5675223</v>
      </c>
      <c r="AV7" s="67">
        <v>2634703095.0103059</v>
      </c>
      <c r="AW7" s="68">
        <f t="shared" ref="AW7:AZ7" si="12">AS7*(1+$AL7*AW$2)</f>
        <v>2633520503.4667788</v>
      </c>
      <c r="AX7" s="69">
        <f t="shared" si="12"/>
        <v>2071715479.0918543</v>
      </c>
      <c r="AY7" s="69">
        <f t="shared" si="12"/>
        <v>2114643909.5675223</v>
      </c>
      <c r="AZ7" s="70">
        <f t="shared" si="12"/>
        <v>2634703095.0103059</v>
      </c>
      <c r="BA7" s="68">
        <f t="shared" ref="BA7:BD7" si="13">AS7*(1+$AL7*BA$2)</f>
        <v>2633520503.4667788</v>
      </c>
      <c r="BB7" s="69">
        <f t="shared" si="13"/>
        <v>2071715479.0918543</v>
      </c>
      <c r="BC7" s="69">
        <f t="shared" si="13"/>
        <v>2114643909.5675223</v>
      </c>
      <c r="BD7" s="70">
        <f t="shared" si="13"/>
        <v>2634703095.0103059</v>
      </c>
      <c r="BE7" s="68">
        <f t="shared" ref="BE7:BH7" si="14">AS7*(1+$AL7*BE$2)</f>
        <v>2633520503.4667788</v>
      </c>
      <c r="BF7" s="69">
        <f t="shared" si="14"/>
        <v>2071715479.0918543</v>
      </c>
      <c r="BG7" s="69">
        <f t="shared" si="14"/>
        <v>2114643909.5675223</v>
      </c>
      <c r="BH7" s="70">
        <f t="shared" si="14"/>
        <v>2634703095.0103059</v>
      </c>
      <c r="BI7" s="10"/>
      <c r="BJ7" s="10"/>
    </row>
    <row r="8" spans="1:62" ht="14.25" customHeight="1">
      <c r="A8" s="10" t="s">
        <v>64</v>
      </c>
      <c r="B8" s="10" t="s">
        <v>86</v>
      </c>
      <c r="C8" s="10" t="s">
        <v>91</v>
      </c>
      <c r="D8" s="10" t="s">
        <v>91</v>
      </c>
      <c r="E8" s="31">
        <v>5684000</v>
      </c>
      <c r="F8" s="39">
        <v>-0.2</v>
      </c>
      <c r="G8" s="40">
        <f t="shared" si="0"/>
        <v>-1136800</v>
      </c>
      <c r="H8" s="10"/>
      <c r="I8" s="10"/>
      <c r="J8" s="41"/>
      <c r="K8" s="61">
        <v>14</v>
      </c>
      <c r="L8" s="61" t="s">
        <v>92</v>
      </c>
      <c r="M8" s="52">
        <v>1483.4129237025156</v>
      </c>
      <c r="N8" s="52">
        <v>1606.7328900812349</v>
      </c>
      <c r="O8" s="52">
        <v>1675.0682806743491</v>
      </c>
      <c r="P8" s="52">
        <v>1651.8874157041712</v>
      </c>
      <c r="Q8" s="52">
        <v>1693.2723417533784</v>
      </c>
      <c r="R8" s="52">
        <v>1694.4881664373595</v>
      </c>
      <c r="S8" s="52">
        <v>1783.7656315391662</v>
      </c>
      <c r="T8" s="52">
        <v>1878.0653428435683</v>
      </c>
      <c r="U8" s="52">
        <v>1916.4813908021738</v>
      </c>
      <c r="V8" s="52">
        <v>1812.4119359602662</v>
      </c>
      <c r="W8" s="52">
        <v>1792.3290290530226</v>
      </c>
      <c r="X8" s="52">
        <v>1731.8236779966705</v>
      </c>
      <c r="Y8" s="52">
        <v>1711.5378449304246</v>
      </c>
      <c r="Z8" s="52">
        <v>1732.4611944504295</v>
      </c>
      <c r="AA8" s="52">
        <v>1605.0179957489624</v>
      </c>
      <c r="AB8" s="52">
        <v>1420.3172934024888</v>
      </c>
      <c r="AC8" s="52">
        <v>1498.9438537840811</v>
      </c>
      <c r="AD8" s="52">
        <v>1365.5810038548993</v>
      </c>
      <c r="AE8" s="52">
        <v>1252.1525983055228</v>
      </c>
      <c r="AF8" s="52">
        <v>1291.7937821171413</v>
      </c>
      <c r="AG8" s="52">
        <v>1198.8223929705725</v>
      </c>
      <c r="AH8" s="52">
        <v>1271.0717059551312</v>
      </c>
      <c r="AI8" s="52">
        <v>1272.709085</v>
      </c>
      <c r="AJ8" s="47">
        <v>-0.7</v>
      </c>
      <c r="AK8" s="402"/>
      <c r="AL8" s="47">
        <f t="shared" si="11"/>
        <v>0</v>
      </c>
      <c r="AM8" s="71" t="s">
        <v>93</v>
      </c>
      <c r="AN8" s="72" t="s">
        <v>94</v>
      </c>
      <c r="AO8" s="73">
        <v>1042058401.7138313</v>
      </c>
      <c r="AP8" s="67">
        <v>1044344964.7799977</v>
      </c>
      <c r="AQ8" s="67">
        <v>1058510137.6198716</v>
      </c>
      <c r="AR8" s="66">
        <v>1060296127.0902858</v>
      </c>
      <c r="AS8" s="73">
        <v>1064710871.5385058</v>
      </c>
      <c r="AT8" s="67">
        <v>1065141515.4968027</v>
      </c>
      <c r="AU8" s="67">
        <v>1098924139.959374</v>
      </c>
      <c r="AV8" s="67">
        <v>1074145157.9552562</v>
      </c>
      <c r="AW8" s="68">
        <f t="shared" ref="AW8:AZ8" si="15">AS8*(1+$AL8*AW$2)</f>
        <v>1064710871.5385058</v>
      </c>
      <c r="AX8" s="69">
        <f t="shared" si="15"/>
        <v>1065141515.4968027</v>
      </c>
      <c r="AY8" s="69">
        <f t="shared" si="15"/>
        <v>1098924139.959374</v>
      </c>
      <c r="AZ8" s="70">
        <f t="shared" si="15"/>
        <v>1074145157.9552562</v>
      </c>
      <c r="BA8" s="68">
        <f t="shared" ref="BA8:BD8" si="16">AS8*(1+$AL8*BA$2)</f>
        <v>1064710871.5385058</v>
      </c>
      <c r="BB8" s="69">
        <f t="shared" si="16"/>
        <v>1065141515.4968027</v>
      </c>
      <c r="BC8" s="69">
        <f t="shared" si="16"/>
        <v>1098924139.959374</v>
      </c>
      <c r="BD8" s="70">
        <f t="shared" si="16"/>
        <v>1074145157.9552562</v>
      </c>
      <c r="BE8" s="68">
        <f t="shared" ref="BE8:BH8" si="17">AS8*(1+$AL8*BE$2)</f>
        <v>1064710871.5385058</v>
      </c>
      <c r="BF8" s="69">
        <f t="shared" si="17"/>
        <v>1065141515.4968027</v>
      </c>
      <c r="BG8" s="69">
        <f t="shared" si="17"/>
        <v>1098924139.959374</v>
      </c>
      <c r="BH8" s="70">
        <f t="shared" si="17"/>
        <v>1074145157.9552562</v>
      </c>
      <c r="BI8" s="10"/>
      <c r="BJ8" s="10"/>
    </row>
    <row r="9" spans="1:62" ht="14.25" customHeight="1">
      <c r="A9" s="10" t="s">
        <v>95</v>
      </c>
      <c r="B9" s="10" t="s">
        <v>96</v>
      </c>
      <c r="C9" s="10" t="s">
        <v>97</v>
      </c>
      <c r="D9" s="10" t="s">
        <v>98</v>
      </c>
      <c r="E9" s="31">
        <v>287930000</v>
      </c>
      <c r="F9" s="39">
        <v>0</v>
      </c>
      <c r="G9" s="40">
        <f t="shared" si="0"/>
        <v>0</v>
      </c>
      <c r="H9" s="10"/>
      <c r="I9" s="10"/>
      <c r="J9" s="41"/>
      <c r="K9" s="61">
        <v>15</v>
      </c>
      <c r="L9" s="61" t="s">
        <v>99</v>
      </c>
      <c r="M9" s="52">
        <v>544.18857812524186</v>
      </c>
      <c r="N9" s="52">
        <v>539.1293201129414</v>
      </c>
      <c r="O9" s="52">
        <v>522.09136384106387</v>
      </c>
      <c r="P9" s="52">
        <v>453.53893873671331</v>
      </c>
      <c r="Q9" s="52">
        <v>445.83988389317562</v>
      </c>
      <c r="R9" s="52">
        <v>486.51780332683308</v>
      </c>
      <c r="S9" s="52">
        <v>508.92011863563886</v>
      </c>
      <c r="T9" s="52">
        <v>560.92695662607071</v>
      </c>
      <c r="U9" s="52">
        <v>484.54429645923221</v>
      </c>
      <c r="V9" s="52">
        <v>520.5897286686328</v>
      </c>
      <c r="W9" s="52">
        <v>519.75149298253677</v>
      </c>
      <c r="X9" s="52">
        <v>620.82426429493114</v>
      </c>
      <c r="Y9" s="52">
        <v>661.98566433580663</v>
      </c>
      <c r="Z9" s="52">
        <v>631.06479658103467</v>
      </c>
      <c r="AA9" s="52">
        <v>532.25920035216097</v>
      </c>
      <c r="AB9" s="52">
        <v>608.79036837936883</v>
      </c>
      <c r="AC9" s="52">
        <v>666.4701295418572</v>
      </c>
      <c r="AD9" s="52">
        <v>629.27378736592721</v>
      </c>
      <c r="AE9" s="52">
        <v>643.44089275707097</v>
      </c>
      <c r="AF9" s="52">
        <v>715.97663071622082</v>
      </c>
      <c r="AG9" s="52">
        <v>554.57738318364386</v>
      </c>
      <c r="AH9" s="52">
        <v>610.18538621483901</v>
      </c>
      <c r="AI9" s="52">
        <v>707.01830399999994</v>
      </c>
      <c r="AJ9" s="47">
        <v>-0.7</v>
      </c>
      <c r="AK9" s="402"/>
      <c r="AL9" s="47">
        <f t="shared" si="11"/>
        <v>-0.3</v>
      </c>
      <c r="AM9" s="71" t="s">
        <v>101</v>
      </c>
      <c r="AN9" s="72" t="s">
        <v>102</v>
      </c>
      <c r="AO9" s="73">
        <v>3776798667.1589041</v>
      </c>
      <c r="AP9" s="67">
        <v>4134470168.7244897</v>
      </c>
      <c r="AQ9" s="67">
        <v>4173698012.8948741</v>
      </c>
      <c r="AR9" s="66">
        <v>4163638234.4942093</v>
      </c>
      <c r="AS9" s="73">
        <v>4251188175.4527044</v>
      </c>
      <c r="AT9" s="67">
        <v>4495814505.3733702</v>
      </c>
      <c r="AU9" s="67">
        <v>4505377889.6200323</v>
      </c>
      <c r="AV9" s="67">
        <v>4524898775.3353109</v>
      </c>
      <c r="AW9" s="68">
        <f t="shared" ref="AW9:AZ9" si="18">AS9*(1+$AL9*AW$2)</f>
        <v>3830320546.0828867</v>
      </c>
      <c r="AX9" s="69">
        <f t="shared" si="18"/>
        <v>3147070153.7613587</v>
      </c>
      <c r="AY9" s="69">
        <f t="shared" si="18"/>
        <v>3613313067.475266</v>
      </c>
      <c r="AZ9" s="70">
        <f t="shared" si="18"/>
        <v>4076933796.5771151</v>
      </c>
      <c r="BA9" s="68">
        <f t="shared" ref="BA9:BD9" si="19">AS9*(1+$AL9*BA$2)</f>
        <v>3830320546.0828867</v>
      </c>
      <c r="BB9" s="69">
        <f t="shared" si="19"/>
        <v>3147070153.7613587</v>
      </c>
      <c r="BC9" s="69">
        <f t="shared" si="19"/>
        <v>3829571206.1770272</v>
      </c>
      <c r="BD9" s="70">
        <f t="shared" si="19"/>
        <v>4253404848.8151922</v>
      </c>
      <c r="BE9" s="68">
        <f t="shared" ref="BE9:BH9" si="20">AS9*(1+$AL9*BE$2)</f>
        <v>3830320546.0828867</v>
      </c>
      <c r="BF9" s="69">
        <f t="shared" si="20"/>
        <v>3147070153.7613587</v>
      </c>
      <c r="BG9" s="69">
        <f t="shared" si="20"/>
        <v>4059345478.5476494</v>
      </c>
      <c r="BH9" s="70">
        <f t="shared" si="20"/>
        <v>4524898775.3353109</v>
      </c>
      <c r="BI9" s="10"/>
      <c r="BJ9" s="10"/>
    </row>
    <row r="10" spans="1:62" ht="14.25" customHeight="1">
      <c r="A10" s="10" t="s">
        <v>95</v>
      </c>
      <c r="B10" s="10" t="s">
        <v>96</v>
      </c>
      <c r="C10" s="10" t="s">
        <v>97</v>
      </c>
      <c r="D10" s="10" t="s">
        <v>103</v>
      </c>
      <c r="E10" s="31">
        <v>308234000</v>
      </c>
      <c r="F10" s="39">
        <v>0</v>
      </c>
      <c r="G10" s="40">
        <f t="shared" si="0"/>
        <v>0</v>
      </c>
      <c r="H10" s="10"/>
      <c r="I10" s="10"/>
      <c r="J10" s="41"/>
      <c r="K10" s="61">
        <v>16</v>
      </c>
      <c r="L10" s="61" t="s">
        <v>104</v>
      </c>
      <c r="M10" s="52">
        <v>673.35716017311188</v>
      </c>
      <c r="N10" s="52">
        <v>868.2134562652252</v>
      </c>
      <c r="O10" s="52">
        <v>931.52851611667086</v>
      </c>
      <c r="P10" s="52">
        <v>970.40258187334916</v>
      </c>
      <c r="Q10" s="52">
        <v>859.81014539293813</v>
      </c>
      <c r="R10" s="52">
        <v>970.75323555931448</v>
      </c>
      <c r="S10" s="52">
        <v>883.75609027465316</v>
      </c>
      <c r="T10" s="52">
        <v>1048.4895391470184</v>
      </c>
      <c r="U10" s="52">
        <v>1172.3494026644332</v>
      </c>
      <c r="V10" s="52">
        <v>1207.5690022852386</v>
      </c>
      <c r="W10" s="52">
        <v>1240.993716066873</v>
      </c>
      <c r="X10" s="52">
        <v>1283.9512509135952</v>
      </c>
      <c r="Y10" s="52">
        <v>1595.804358745934</v>
      </c>
      <c r="Z10" s="52">
        <v>1606.124042557293</v>
      </c>
      <c r="AA10" s="52">
        <v>1381.1474972683491</v>
      </c>
      <c r="AB10" s="52">
        <v>1121.5986596090174</v>
      </c>
      <c r="AC10" s="52">
        <v>1187.5536352431268</v>
      </c>
      <c r="AD10" s="52">
        <v>1174.8826229776778</v>
      </c>
      <c r="AE10" s="52">
        <v>1255.1084863818865</v>
      </c>
      <c r="AF10" s="52">
        <v>1454.2063711086234</v>
      </c>
      <c r="AG10" s="52">
        <v>1704.8017817275686</v>
      </c>
      <c r="AH10" s="52">
        <v>1872.9015220718632</v>
      </c>
      <c r="AI10" s="52">
        <v>1995.4212</v>
      </c>
      <c r="AJ10" s="47">
        <v>-0.2</v>
      </c>
      <c r="AK10" s="402"/>
      <c r="AL10" s="47">
        <f t="shared" si="11"/>
        <v>-0.31311608042053396</v>
      </c>
      <c r="AM10" s="71" t="s">
        <v>105</v>
      </c>
      <c r="AN10" s="72" t="s">
        <v>106</v>
      </c>
      <c r="AO10" s="73">
        <v>7974917085.147337</v>
      </c>
      <c r="AP10" s="67">
        <v>9801132162.3089218</v>
      </c>
      <c r="AQ10" s="67">
        <v>10842653974.804779</v>
      </c>
      <c r="AR10" s="66">
        <v>9856862746.3607368</v>
      </c>
      <c r="AS10" s="73">
        <v>8610189038.7990627</v>
      </c>
      <c r="AT10" s="67">
        <v>10339890546.387033</v>
      </c>
      <c r="AU10" s="67">
        <v>11229885152.946445</v>
      </c>
      <c r="AV10" s="67">
        <v>10364031685.149887</v>
      </c>
      <c r="AW10" s="68">
        <f t="shared" ref="AW10:AZ10" si="21">AS10*(1+$AL10*AW$2)</f>
        <v>7720512786.4412222</v>
      </c>
      <c r="AX10" s="69">
        <f t="shared" si="21"/>
        <v>7102304546.524992</v>
      </c>
      <c r="AY10" s="69">
        <f t="shared" si="21"/>
        <v>8909155121.9886417</v>
      </c>
      <c r="AZ10" s="70">
        <f t="shared" si="21"/>
        <v>9293133842.2091293</v>
      </c>
      <c r="BA10" s="68">
        <f t="shared" ref="BA10:BD10" si="22">AS10*(1+$AL10*BA$2)</f>
        <v>7720512786.4412222</v>
      </c>
      <c r="BB10" s="69">
        <f t="shared" si="22"/>
        <v>7102304546.524992</v>
      </c>
      <c r="BC10" s="69">
        <f t="shared" si="22"/>
        <v>9471756341.6147766</v>
      </c>
      <c r="BD10" s="70">
        <f t="shared" si="22"/>
        <v>9715002689.4282169</v>
      </c>
      <c r="BE10" s="68">
        <f t="shared" ref="BE10:BH10" si="23">AS10*(1+$AL10*BE$2)</f>
        <v>7720512786.4412222</v>
      </c>
      <c r="BF10" s="69">
        <f t="shared" si="23"/>
        <v>7102304546.524992</v>
      </c>
      <c r="BG10" s="69">
        <f t="shared" si="23"/>
        <v>10069520137.467543</v>
      </c>
      <c r="BH10" s="70">
        <f t="shared" si="23"/>
        <v>10364031685.149887</v>
      </c>
      <c r="BI10" s="10"/>
      <c r="BJ10" s="10"/>
    </row>
    <row r="11" spans="1:62" ht="14.25" customHeight="1">
      <c r="A11" s="10" t="s">
        <v>95</v>
      </c>
      <c r="B11" s="10" t="s">
        <v>96</v>
      </c>
      <c r="C11" s="10" t="s">
        <v>97</v>
      </c>
      <c r="D11" s="10" t="s">
        <v>107</v>
      </c>
      <c r="E11" s="31">
        <v>861277000</v>
      </c>
      <c r="F11" s="39">
        <v>0</v>
      </c>
      <c r="G11" s="40">
        <f t="shared" si="0"/>
        <v>0</v>
      </c>
      <c r="H11" s="10"/>
      <c r="I11" s="10"/>
      <c r="J11" s="41"/>
      <c r="K11" s="61">
        <v>17</v>
      </c>
      <c r="L11" s="61" t="s">
        <v>108</v>
      </c>
      <c r="M11" s="52">
        <v>562.79783321969273</v>
      </c>
      <c r="N11" s="52">
        <v>522.66211231675095</v>
      </c>
      <c r="O11" s="52">
        <v>440.2592163308139</v>
      </c>
      <c r="P11" s="52">
        <v>504.05397347020914</v>
      </c>
      <c r="Q11" s="52">
        <v>568.12669388802692</v>
      </c>
      <c r="R11" s="52">
        <v>717.18262784968522</v>
      </c>
      <c r="S11" s="52">
        <v>769.46547995049877</v>
      </c>
      <c r="T11" s="52">
        <v>787.1938104204695</v>
      </c>
      <c r="U11" s="52">
        <v>755.66554327220081</v>
      </c>
      <c r="V11" s="52">
        <v>784.50923366980794</v>
      </c>
      <c r="W11" s="52">
        <v>798.70139730692074</v>
      </c>
      <c r="X11" s="52">
        <v>746.70216036222121</v>
      </c>
      <c r="Y11" s="52">
        <v>877.61138571762274</v>
      </c>
      <c r="Z11" s="52">
        <v>953.99385409940385</v>
      </c>
      <c r="AA11" s="52">
        <v>723.35136026474527</v>
      </c>
      <c r="AB11" s="52">
        <v>669.1212955583577</v>
      </c>
      <c r="AC11" s="52">
        <v>674.85113101697164</v>
      </c>
      <c r="AD11" s="52">
        <v>664.36448476824762</v>
      </c>
      <c r="AE11" s="52">
        <v>646.84725296805243</v>
      </c>
      <c r="AF11" s="52">
        <v>708.21624353898096</v>
      </c>
      <c r="AG11" s="52">
        <v>760.38530290449376</v>
      </c>
      <c r="AH11" s="52">
        <v>803.15613142667485</v>
      </c>
      <c r="AI11" s="52">
        <v>729.73083899999995</v>
      </c>
      <c r="AJ11" s="47">
        <v>-0.2</v>
      </c>
      <c r="AK11" s="402"/>
      <c r="AL11" s="47">
        <f t="shared" si="11"/>
        <v>-0.66910034294326015</v>
      </c>
      <c r="AM11" s="71" t="s">
        <v>109</v>
      </c>
      <c r="AN11" s="72" t="s">
        <v>110</v>
      </c>
      <c r="AO11" s="73">
        <v>3210780435.0855389</v>
      </c>
      <c r="AP11" s="67">
        <v>3696860978.3671312</v>
      </c>
      <c r="AQ11" s="67">
        <v>3999251970.1985168</v>
      </c>
      <c r="AR11" s="66">
        <v>3737146965.656817</v>
      </c>
      <c r="AS11" s="73">
        <v>3382693058.5201974</v>
      </c>
      <c r="AT11" s="67">
        <v>3916360316.3657074</v>
      </c>
      <c r="AU11" s="67">
        <v>4180024604.1222029</v>
      </c>
      <c r="AV11" s="67">
        <v>3940000240.4419394</v>
      </c>
      <c r="AW11" s="68">
        <f t="shared" ref="AW11:AZ11" si="24">AS11*(1+$AL11*AW$2)</f>
        <v>2635783900.296073</v>
      </c>
      <c r="AX11" s="69">
        <f t="shared" si="24"/>
        <v>1295922285.5960379</v>
      </c>
      <c r="AY11" s="69">
        <f t="shared" si="24"/>
        <v>2334099712.6767778</v>
      </c>
      <c r="AZ11" s="70">
        <f t="shared" si="24"/>
        <v>3070035921.4567838</v>
      </c>
      <c r="BA11" s="68">
        <f t="shared" ref="BA11:BD11" si="25">AS11*(1+$AL11*BA$2)</f>
        <v>2635783900.296073</v>
      </c>
      <c r="BB11" s="69">
        <f t="shared" si="25"/>
        <v>1295922285.5960379</v>
      </c>
      <c r="BC11" s="69">
        <f t="shared" si="25"/>
        <v>2781596656.057487</v>
      </c>
      <c r="BD11" s="70">
        <f t="shared" si="25"/>
        <v>3412749138.0266933</v>
      </c>
      <c r="BE11" s="68">
        <f t="shared" ref="BE11:BH11" si="26">AS11*(1+$AL11*BE$2)</f>
        <v>2635783900.296073</v>
      </c>
      <c r="BF11" s="69">
        <f t="shared" si="26"/>
        <v>1295922285.5960379</v>
      </c>
      <c r="BG11" s="69">
        <f t="shared" si="26"/>
        <v>3257062158.3994904</v>
      </c>
      <c r="BH11" s="70">
        <f t="shared" si="26"/>
        <v>3940000240.4419394</v>
      </c>
      <c r="BI11" s="10"/>
      <c r="BJ11" s="10"/>
    </row>
    <row r="12" spans="1:62" ht="14.25" customHeight="1">
      <c r="A12" s="10" t="s">
        <v>95</v>
      </c>
      <c r="B12" s="10" t="s">
        <v>96</v>
      </c>
      <c r="C12" s="10" t="s">
        <v>112</v>
      </c>
      <c r="D12" s="10" t="s">
        <v>112</v>
      </c>
      <c r="E12" s="31">
        <v>178101000</v>
      </c>
      <c r="F12" s="39">
        <v>0</v>
      </c>
      <c r="G12" s="40">
        <f t="shared" si="0"/>
        <v>0</v>
      </c>
      <c r="H12" s="10"/>
      <c r="I12" s="10"/>
      <c r="J12" s="41"/>
      <c r="K12" s="61">
        <v>18</v>
      </c>
      <c r="L12" s="61" t="s">
        <v>113</v>
      </c>
      <c r="M12" s="52">
        <v>601.81543862725198</v>
      </c>
      <c r="N12" s="52">
        <v>651.20272102053821</v>
      </c>
      <c r="O12" s="52">
        <v>654.67500899744198</v>
      </c>
      <c r="P12" s="52">
        <v>617.34781809397759</v>
      </c>
      <c r="Q12" s="52">
        <v>661.79642647086735</v>
      </c>
      <c r="R12" s="52">
        <v>728.18463163784907</v>
      </c>
      <c r="S12" s="52">
        <v>760.39743525242159</v>
      </c>
      <c r="T12" s="52">
        <v>823.81373806030228</v>
      </c>
      <c r="U12" s="52">
        <v>999.09587927731275</v>
      </c>
      <c r="V12" s="52">
        <v>965.47744891368029</v>
      </c>
      <c r="W12" s="52">
        <v>935.3581099537206</v>
      </c>
      <c r="X12" s="52">
        <v>987.55486380544301</v>
      </c>
      <c r="Y12" s="52">
        <v>1165.0441133910149</v>
      </c>
      <c r="Z12" s="52">
        <v>1340.1649455456386</v>
      </c>
      <c r="AA12" s="52">
        <v>1224.1599644247417</v>
      </c>
      <c r="AB12" s="52">
        <v>1184.7033522174472</v>
      </c>
      <c r="AC12" s="52">
        <v>1260.8680350373133</v>
      </c>
      <c r="AD12" s="52">
        <v>1172.7930481081075</v>
      </c>
      <c r="AE12" s="52">
        <v>1172.0042315968012</v>
      </c>
      <c r="AF12" s="52">
        <v>1254.8122152907204</v>
      </c>
      <c r="AG12" s="52">
        <v>1376.7747816483984</v>
      </c>
      <c r="AH12" s="52">
        <v>1305.5349177537164</v>
      </c>
      <c r="AI12" s="52">
        <v>1400.43353</v>
      </c>
      <c r="AJ12" s="47">
        <v>-0.5</v>
      </c>
      <c r="AK12" s="402"/>
      <c r="AL12" s="47">
        <f t="shared" si="11"/>
        <v>-1</v>
      </c>
      <c r="AM12" s="71" t="s">
        <v>114</v>
      </c>
      <c r="AN12" s="72" t="s">
        <v>115</v>
      </c>
      <c r="AO12" s="73">
        <v>1840348263.7488832</v>
      </c>
      <c r="AP12" s="67">
        <v>5399481323.1180553</v>
      </c>
      <c r="AQ12" s="67">
        <v>11228494076.267529</v>
      </c>
      <c r="AR12" s="66">
        <v>2693589591.2420754</v>
      </c>
      <c r="AS12" s="73">
        <v>1931100761.3377123</v>
      </c>
      <c r="AT12" s="67">
        <v>5700862747.0998507</v>
      </c>
      <c r="AU12" s="67">
        <v>11910854067.492214</v>
      </c>
      <c r="AV12" s="67">
        <v>2909263025.2629733</v>
      </c>
      <c r="AW12" s="68">
        <f t="shared" ref="AW12:AZ12" si="27">AS12*(1+$AL12*AW$2)</f>
        <v>1293837510.096267</v>
      </c>
      <c r="AX12" s="69">
        <f t="shared" si="27"/>
        <v>0</v>
      </c>
      <c r="AY12" s="69">
        <f t="shared" si="27"/>
        <v>4049690382.9473524</v>
      </c>
      <c r="AZ12" s="70">
        <f t="shared" si="27"/>
        <v>1949206226.9261918</v>
      </c>
      <c r="BA12" s="68">
        <f t="shared" ref="BA12:BD12" si="28">AS12*(1+$AL12*BA$2)</f>
        <v>1293837510.096267</v>
      </c>
      <c r="BB12" s="69">
        <f t="shared" si="28"/>
        <v>0</v>
      </c>
      <c r="BC12" s="69">
        <f t="shared" si="28"/>
        <v>5955427033.7461071</v>
      </c>
      <c r="BD12" s="70">
        <f t="shared" si="28"/>
        <v>2327410420.2103786</v>
      </c>
      <c r="BE12" s="68">
        <f t="shared" ref="BE12:BH12" si="29">AS12*(1+$AL12*BE$2)</f>
        <v>1293837510.096267</v>
      </c>
      <c r="BF12" s="69">
        <f t="shared" si="29"/>
        <v>0</v>
      </c>
      <c r="BG12" s="69">
        <f t="shared" si="29"/>
        <v>7980272225.2197828</v>
      </c>
      <c r="BH12" s="70">
        <f t="shared" si="29"/>
        <v>2909263025.2629733</v>
      </c>
      <c r="BI12" s="10"/>
      <c r="BJ12" s="10"/>
    </row>
    <row r="13" spans="1:62" ht="14.25" customHeight="1">
      <c r="A13" s="10" t="s">
        <v>95</v>
      </c>
      <c r="B13" s="10" t="s">
        <v>96</v>
      </c>
      <c r="C13" s="10" t="s">
        <v>116</v>
      </c>
      <c r="D13" s="10" t="s">
        <v>117</v>
      </c>
      <c r="E13" s="31">
        <v>117892000</v>
      </c>
      <c r="F13" s="39">
        <v>0</v>
      </c>
      <c r="G13" s="40">
        <f t="shared" si="0"/>
        <v>0</v>
      </c>
      <c r="H13" s="10"/>
      <c r="I13" s="10"/>
      <c r="J13" s="41"/>
      <c r="K13" s="61">
        <v>19</v>
      </c>
      <c r="L13" s="61" t="s">
        <v>118</v>
      </c>
      <c r="M13" s="52">
        <v>2257.8409274723681</v>
      </c>
      <c r="N13" s="52">
        <v>2070.6334494481926</v>
      </c>
      <c r="O13" s="52">
        <v>2402.3973334760772</v>
      </c>
      <c r="P13" s="52">
        <v>2868.3541666658243</v>
      </c>
      <c r="Q13" s="52">
        <v>2659.6970134339617</v>
      </c>
      <c r="R13" s="52">
        <v>3835.6775847404097</v>
      </c>
      <c r="S13" s="52">
        <v>3545.5151841849138</v>
      </c>
      <c r="T13" s="52">
        <v>2418.5973450065958</v>
      </c>
      <c r="U13" s="52">
        <v>2976.2969281769829</v>
      </c>
      <c r="V13" s="52">
        <v>3915.7721859454327</v>
      </c>
      <c r="W13" s="52">
        <v>3926.1353321281645</v>
      </c>
      <c r="X13" s="52">
        <v>3602.2249445457533</v>
      </c>
      <c r="Y13" s="52">
        <v>4027.4887127214242</v>
      </c>
      <c r="Z13" s="52">
        <v>3152.411685</v>
      </c>
      <c r="AA13" s="52">
        <v>3930.2309230000001</v>
      </c>
      <c r="AB13" s="52">
        <v>5128.676179</v>
      </c>
      <c r="AC13" s="52">
        <v>6637.449388</v>
      </c>
      <c r="AD13" s="52">
        <v>7200.9454779999996</v>
      </c>
      <c r="AE13" s="52">
        <v>5815.2718489999997</v>
      </c>
      <c r="AF13" s="52">
        <v>4642.9800809999997</v>
      </c>
      <c r="AG13" s="52">
        <v>4466.7654670000002</v>
      </c>
      <c r="AH13" s="52">
        <v>4030.695512333315</v>
      </c>
      <c r="AI13" s="52">
        <v>4263.5669399999997</v>
      </c>
      <c r="AJ13" s="47">
        <v>-0.3</v>
      </c>
      <c r="AK13" s="402"/>
      <c r="AL13" s="47">
        <f t="shared" si="11"/>
        <v>-4.1528142175114642E-2</v>
      </c>
      <c r="AM13" s="71" t="s">
        <v>119</v>
      </c>
      <c r="AN13" s="72" t="s">
        <v>120</v>
      </c>
      <c r="AO13" s="73">
        <v>3657383389.1967592</v>
      </c>
      <c r="AP13" s="67">
        <v>3758975722.2994876</v>
      </c>
      <c r="AQ13" s="67">
        <v>3854339031.6214604</v>
      </c>
      <c r="AR13" s="66">
        <v>4019688524.1854534</v>
      </c>
      <c r="AS13" s="73">
        <v>3844048726.5542693</v>
      </c>
      <c r="AT13" s="67">
        <v>3980781716.1455951</v>
      </c>
      <c r="AU13" s="67">
        <v>4028091928.2845793</v>
      </c>
      <c r="AV13" s="67">
        <v>4255449015.7511702</v>
      </c>
      <c r="AW13" s="68">
        <f t="shared" ref="AW13:AZ13" si="30">AS13*(1+$AL13*AW$2)</f>
        <v>3791368779.8796129</v>
      </c>
      <c r="AX13" s="69">
        <f t="shared" si="30"/>
        <v>3815467247.0694036</v>
      </c>
      <c r="AY13" s="69">
        <f t="shared" si="30"/>
        <v>3917687673.2517047</v>
      </c>
      <c r="AZ13" s="70">
        <f t="shared" si="30"/>
        <v>4197131121.4752984</v>
      </c>
      <c r="BA13" s="68">
        <f t="shared" ref="BA13:BD13" si="31">AS13*(1+$AL13*BA$2)</f>
        <v>3791368779.8796129</v>
      </c>
      <c r="BB13" s="69">
        <f t="shared" si="31"/>
        <v>3815467247.0694036</v>
      </c>
      <c r="BC13" s="69">
        <f t="shared" si="31"/>
        <v>3944452341.1384625</v>
      </c>
      <c r="BD13" s="70">
        <f t="shared" si="31"/>
        <v>4220104837.4021568</v>
      </c>
      <c r="BE13" s="68">
        <f t="shared" ref="BE13:BH13" si="32">AS13*(1+$AL13*BE$2)</f>
        <v>3791368779.8796129</v>
      </c>
      <c r="BF13" s="69">
        <f t="shared" si="32"/>
        <v>3815467247.0694036</v>
      </c>
      <c r="BG13" s="69">
        <f t="shared" si="32"/>
        <v>3972889800.7681422</v>
      </c>
      <c r="BH13" s="70">
        <f t="shared" si="32"/>
        <v>4255449015.7511702</v>
      </c>
      <c r="BI13" s="10"/>
      <c r="BJ13" s="10"/>
    </row>
    <row r="14" spans="1:62" ht="14.25" customHeight="1">
      <c r="A14" s="10" t="s">
        <v>95</v>
      </c>
      <c r="B14" s="10" t="s">
        <v>96</v>
      </c>
      <c r="C14" s="10" t="s">
        <v>116</v>
      </c>
      <c r="D14" s="10" t="s">
        <v>121</v>
      </c>
      <c r="E14" s="31">
        <v>211219000</v>
      </c>
      <c r="F14" s="39">
        <v>0</v>
      </c>
      <c r="G14" s="40">
        <f t="shared" si="0"/>
        <v>0</v>
      </c>
      <c r="H14" s="10"/>
      <c r="I14" s="10"/>
      <c r="J14" s="41"/>
      <c r="K14" s="61">
        <v>20</v>
      </c>
      <c r="L14" s="61" t="s">
        <v>122</v>
      </c>
      <c r="M14" s="52">
        <v>1052.6927270559154</v>
      </c>
      <c r="N14" s="52">
        <v>757.41793544596953</v>
      </c>
      <c r="O14" s="52">
        <v>1224.4222395758568</v>
      </c>
      <c r="P14" s="52">
        <v>1332.4501151681452</v>
      </c>
      <c r="Q14" s="52">
        <v>1512.5583561295771</v>
      </c>
      <c r="R14" s="52">
        <v>1624.0264740879036</v>
      </c>
      <c r="S14" s="52">
        <v>1711.6168611890507</v>
      </c>
      <c r="T14" s="52">
        <v>1359.6810874699358</v>
      </c>
      <c r="U14" s="52">
        <v>1199.5790158881155</v>
      </c>
      <c r="V14" s="52">
        <v>1257.8831395197383</v>
      </c>
      <c r="W14" s="52">
        <v>1381.6842216552795</v>
      </c>
      <c r="X14" s="52">
        <v>1136.1926807754373</v>
      </c>
      <c r="Y14" s="52">
        <v>1339.4510606968713</v>
      </c>
      <c r="Z14" s="52">
        <v>1482.9453183169442</v>
      </c>
      <c r="AA14" s="52">
        <v>1361.0274988603487</v>
      </c>
      <c r="AB14" s="52">
        <v>1524.9214349979572</v>
      </c>
      <c r="AC14" s="52">
        <v>1521.7563224678449</v>
      </c>
      <c r="AD14" s="52">
        <v>1549.7475443776359</v>
      </c>
      <c r="AE14" s="52">
        <v>1289.9393481541786</v>
      </c>
      <c r="AF14" s="52">
        <v>1256.9257443150702</v>
      </c>
      <c r="AG14" s="52">
        <v>1369.5707057697</v>
      </c>
      <c r="AH14" s="52">
        <v>1263.3238311397854</v>
      </c>
      <c r="AI14" s="52">
        <v>1210.34761</v>
      </c>
      <c r="AJ14" s="47">
        <v>-0.3</v>
      </c>
      <c r="AK14" s="402"/>
      <c r="AL14" s="47">
        <f t="shared" si="11"/>
        <v>-0.1</v>
      </c>
      <c r="AM14" s="71" t="s">
        <v>123</v>
      </c>
      <c r="AN14" s="72" t="s">
        <v>124</v>
      </c>
      <c r="AO14" s="73">
        <v>4800740801.2783575</v>
      </c>
      <c r="AP14" s="67">
        <v>4914722872.864994</v>
      </c>
      <c r="AQ14" s="67">
        <v>4896727484.3688965</v>
      </c>
      <c r="AR14" s="66">
        <v>4879694877.8391962</v>
      </c>
      <c r="AS14" s="73">
        <v>4958863664.5263395</v>
      </c>
      <c r="AT14" s="67">
        <v>5035351787.8344822</v>
      </c>
      <c r="AU14" s="67">
        <v>5018667975.7101974</v>
      </c>
      <c r="AV14" s="67">
        <v>5034317937.1384211</v>
      </c>
      <c r="AW14" s="68">
        <f t="shared" ref="AW14:AZ14" si="33">AS14*(1+$AL14*AW$2)</f>
        <v>4795221163.5969706</v>
      </c>
      <c r="AX14" s="69">
        <f t="shared" si="33"/>
        <v>4531816609.051034</v>
      </c>
      <c r="AY14" s="69">
        <f t="shared" si="33"/>
        <v>4687435889.313324</v>
      </c>
      <c r="AZ14" s="70">
        <f t="shared" si="33"/>
        <v>4868185445.2128534</v>
      </c>
      <c r="BA14" s="68">
        <f t="shared" ref="BA14:BD14" si="34">AS14*(1+$AL14*BA$2)</f>
        <v>4795221163.5969706</v>
      </c>
      <c r="BB14" s="69">
        <f t="shared" si="34"/>
        <v>4531816609.051034</v>
      </c>
      <c r="BC14" s="69">
        <f t="shared" si="34"/>
        <v>4767734576.9246874</v>
      </c>
      <c r="BD14" s="70">
        <f t="shared" si="34"/>
        <v>4933631578.3956528</v>
      </c>
      <c r="BE14" s="68">
        <f t="shared" ref="BE14:BH14" si="35">AS14*(1+$AL14*BE$2)</f>
        <v>4795221163.5969706</v>
      </c>
      <c r="BF14" s="69">
        <f t="shared" si="35"/>
        <v>4531816609.051034</v>
      </c>
      <c r="BG14" s="69">
        <f t="shared" si="35"/>
        <v>4853051932.5117607</v>
      </c>
      <c r="BH14" s="70">
        <f t="shared" si="35"/>
        <v>5034317937.1384211</v>
      </c>
      <c r="BI14" s="10"/>
      <c r="BJ14" s="10"/>
    </row>
    <row r="15" spans="1:62" ht="14.25" customHeight="1">
      <c r="A15" s="10" t="s">
        <v>95</v>
      </c>
      <c r="B15" s="10" t="s">
        <v>96</v>
      </c>
      <c r="C15" s="10" t="s">
        <v>125</v>
      </c>
      <c r="D15" s="10" t="s">
        <v>126</v>
      </c>
      <c r="E15" s="31">
        <v>1844284000</v>
      </c>
      <c r="F15" s="39">
        <v>0</v>
      </c>
      <c r="G15" s="40">
        <f t="shared" si="0"/>
        <v>0</v>
      </c>
      <c r="H15" s="10"/>
      <c r="I15" s="10"/>
      <c r="J15" s="41"/>
      <c r="K15" s="61">
        <v>21</v>
      </c>
      <c r="L15" s="61" t="s">
        <v>127</v>
      </c>
      <c r="M15" s="52">
        <v>1647.6105677630449</v>
      </c>
      <c r="N15" s="52">
        <v>1177.099005388229</v>
      </c>
      <c r="O15" s="52">
        <v>1915.4865079426361</v>
      </c>
      <c r="P15" s="52">
        <v>2116.9567409027509</v>
      </c>
      <c r="Q15" s="52">
        <v>2414.3733822048212</v>
      </c>
      <c r="R15" s="52">
        <v>2581.237180314738</v>
      </c>
      <c r="S15" s="52">
        <v>2744.3610086764647</v>
      </c>
      <c r="T15" s="52">
        <v>2278.8663691056754</v>
      </c>
      <c r="U15" s="52">
        <v>2143.1126861753814</v>
      </c>
      <c r="V15" s="52">
        <v>2182.1968772948621</v>
      </c>
      <c r="W15" s="52">
        <v>2036.1722384562336</v>
      </c>
      <c r="X15" s="52">
        <v>1521.3836237650528</v>
      </c>
      <c r="Y15" s="52">
        <v>1787.8289595629196</v>
      </c>
      <c r="Z15" s="52">
        <v>2508.1680911563626</v>
      </c>
      <c r="AA15" s="52">
        <v>2056.2625422634319</v>
      </c>
      <c r="AB15" s="52">
        <v>2501.529328102969</v>
      </c>
      <c r="AC15" s="52">
        <v>2428.6473729999998</v>
      </c>
      <c r="AD15" s="52">
        <v>2745.0811623629561</v>
      </c>
      <c r="AE15" s="52">
        <v>2741.9594429899998</v>
      </c>
      <c r="AF15" s="52">
        <v>2949.6424644799995</v>
      </c>
      <c r="AG15" s="52">
        <v>2858.8463584300002</v>
      </c>
      <c r="AH15" s="52">
        <v>2838.916281239492</v>
      </c>
      <c r="AI15" s="52">
        <v>2716.6384899999998</v>
      </c>
      <c r="AJ15" s="47">
        <v>0</v>
      </c>
      <c r="AK15" s="402"/>
      <c r="AL15" s="47">
        <f t="shared" si="11"/>
        <v>-0.7</v>
      </c>
      <c r="AM15" s="71" t="s">
        <v>128</v>
      </c>
      <c r="AN15" s="72" t="s">
        <v>129</v>
      </c>
      <c r="AO15" s="73">
        <v>7248277911.5398912</v>
      </c>
      <c r="AP15" s="67">
        <v>7371888019.1703148</v>
      </c>
      <c r="AQ15" s="67">
        <v>7379818939.3491116</v>
      </c>
      <c r="AR15" s="66">
        <v>7415909227.3976698</v>
      </c>
      <c r="AS15" s="73">
        <v>7436577994.5912552</v>
      </c>
      <c r="AT15" s="67">
        <v>7534917503.213026</v>
      </c>
      <c r="AU15" s="67">
        <v>7551773954.5032845</v>
      </c>
      <c r="AV15" s="67">
        <v>7597147794.6211195</v>
      </c>
      <c r="AW15" s="68">
        <f t="shared" ref="AW15:AZ15" si="36">AS15*(1+$AL15*AW$2)</f>
        <v>5718728477.8406754</v>
      </c>
      <c r="AX15" s="69">
        <f t="shared" si="36"/>
        <v>2260475250.9639082</v>
      </c>
      <c r="AY15" s="69">
        <f t="shared" si="36"/>
        <v>4062854387.5227671</v>
      </c>
      <c r="AZ15" s="70">
        <f t="shared" si="36"/>
        <v>5842206654.0636406</v>
      </c>
      <c r="BA15" s="68">
        <f t="shared" ref="BA15:BD15" si="37">AS15*(1+$AL15*BA$2)</f>
        <v>5718728477.8406754</v>
      </c>
      <c r="BB15" s="69">
        <f t="shared" si="37"/>
        <v>2260475250.9639082</v>
      </c>
      <c r="BC15" s="69">
        <f t="shared" si="37"/>
        <v>4908653070.4271355</v>
      </c>
      <c r="BD15" s="70">
        <f t="shared" si="37"/>
        <v>6533547103.3741627</v>
      </c>
      <c r="BE15" s="68">
        <f t="shared" ref="BE15:BH15" si="38">AS15*(1+$AL15*BE$2)</f>
        <v>5718728477.8406754</v>
      </c>
      <c r="BF15" s="69">
        <f t="shared" si="38"/>
        <v>2260475250.9639082</v>
      </c>
      <c r="BG15" s="69">
        <f t="shared" si="38"/>
        <v>5807314171.0130262</v>
      </c>
      <c r="BH15" s="70">
        <f t="shared" si="38"/>
        <v>7597147794.6211195</v>
      </c>
      <c r="BI15" s="10"/>
      <c r="BJ15" s="10"/>
    </row>
    <row r="16" spans="1:62" ht="14.25" customHeight="1">
      <c r="A16" s="10" t="s">
        <v>95</v>
      </c>
      <c r="B16" s="10" t="s">
        <v>96</v>
      </c>
      <c r="C16" s="10" t="s">
        <v>125</v>
      </c>
      <c r="D16" s="10" t="s">
        <v>130</v>
      </c>
      <c r="E16" s="31">
        <v>122417000</v>
      </c>
      <c r="F16" s="39">
        <v>0</v>
      </c>
      <c r="G16" s="40">
        <f t="shared" si="0"/>
        <v>0</v>
      </c>
      <c r="H16" s="10"/>
      <c r="I16" s="10"/>
      <c r="J16" s="41"/>
      <c r="K16" s="61">
        <v>22</v>
      </c>
      <c r="L16" s="61" t="s">
        <v>131</v>
      </c>
      <c r="M16" s="52">
        <v>525.05524530250386</v>
      </c>
      <c r="N16" s="52">
        <v>569.25897594548462</v>
      </c>
      <c r="O16" s="52">
        <v>698.65044341856117</v>
      </c>
      <c r="P16" s="52">
        <v>729.70015334933896</v>
      </c>
      <c r="Q16" s="52">
        <v>738.94399189537262</v>
      </c>
      <c r="R16" s="52">
        <v>817.70589989801715</v>
      </c>
      <c r="S16" s="52">
        <v>948.09702487458708</v>
      </c>
      <c r="T16" s="52">
        <v>867.6611543248174</v>
      </c>
      <c r="U16" s="52">
        <v>987.31725579879026</v>
      </c>
      <c r="V16" s="52">
        <v>940.06234156538801</v>
      </c>
      <c r="W16" s="52">
        <v>997.81809328847839</v>
      </c>
      <c r="X16" s="52">
        <v>1195.1987859280814</v>
      </c>
      <c r="Y16" s="52">
        <v>1323.83285467164</v>
      </c>
      <c r="Z16" s="52">
        <v>1420.1835781422162</v>
      </c>
      <c r="AA16" s="52">
        <v>1435.8773798856835</v>
      </c>
      <c r="AB16" s="52">
        <v>1067.5934163408895</v>
      </c>
      <c r="AC16" s="52">
        <v>1315.6483813220034</v>
      </c>
      <c r="AD16" s="52">
        <v>1366.1870902149467</v>
      </c>
      <c r="AE16" s="52">
        <v>1371.3184065835162</v>
      </c>
      <c r="AF16" s="52">
        <v>1559.7369758406649</v>
      </c>
      <c r="AG16" s="52">
        <v>1799.1192407100373</v>
      </c>
      <c r="AH16" s="52">
        <v>1838.357205647719</v>
      </c>
      <c r="AI16" s="52">
        <v>1902.8873510000001</v>
      </c>
      <c r="AJ16" s="47">
        <v>-0.3</v>
      </c>
      <c r="AK16" s="402"/>
      <c r="AL16" s="47">
        <f t="shared" si="11"/>
        <v>-0.31677438905694238</v>
      </c>
      <c r="AM16" s="71" t="s">
        <v>132</v>
      </c>
      <c r="AN16" s="72" t="s">
        <v>133</v>
      </c>
      <c r="AO16" s="73">
        <v>4564471018.8363495</v>
      </c>
      <c r="AP16" s="67">
        <v>4754153405.2645845</v>
      </c>
      <c r="AQ16" s="67">
        <v>4723039858.1062489</v>
      </c>
      <c r="AR16" s="66">
        <v>4729814087.5143414</v>
      </c>
      <c r="AS16" s="73">
        <v>4759928039.3599815</v>
      </c>
      <c r="AT16" s="67">
        <v>4925281254.8888817</v>
      </c>
      <c r="AU16" s="67">
        <v>4934184078.2433167</v>
      </c>
      <c r="AV16" s="67">
        <v>5000875652.340167</v>
      </c>
      <c r="AW16" s="68">
        <f t="shared" ref="AW16:AZ16" si="39">AS16*(1+$AL16*AW$2)</f>
        <v>4262346351.4743032</v>
      </c>
      <c r="AX16" s="69">
        <f t="shared" si="39"/>
        <v>3365078294.4378457</v>
      </c>
      <c r="AY16" s="69">
        <f t="shared" si="39"/>
        <v>3902588801.3025041</v>
      </c>
      <c r="AZ16" s="70">
        <f t="shared" si="39"/>
        <v>4478106373.5986347</v>
      </c>
      <c r="BA16" s="68">
        <f t="shared" ref="BA16:BD16" si="40">AS16*(1+$AL16*BA$2)</f>
        <v>4262346351.4743032</v>
      </c>
      <c r="BB16" s="69">
        <f t="shared" si="40"/>
        <v>3365078294.4378457</v>
      </c>
      <c r="BC16" s="69">
        <f t="shared" si="40"/>
        <v>4152672504.8033071</v>
      </c>
      <c r="BD16" s="70">
        <f t="shared" si="40"/>
        <v>4684045786.4362078</v>
      </c>
      <c r="BE16" s="68">
        <f t="shared" ref="BE16:BH16" si="41">AS16*(1+$AL16*BE$2)</f>
        <v>4262346351.4743032</v>
      </c>
      <c r="BF16" s="69">
        <f t="shared" si="41"/>
        <v>3365078294.4378457</v>
      </c>
      <c r="BG16" s="69">
        <f t="shared" si="41"/>
        <v>4418386439.7729101</v>
      </c>
      <c r="BH16" s="70">
        <f t="shared" si="41"/>
        <v>5000875652.340167</v>
      </c>
      <c r="BI16" s="10"/>
      <c r="BJ16" s="10"/>
    </row>
    <row r="17" spans="1:62" ht="14.25" customHeight="1">
      <c r="A17" s="10" t="s">
        <v>95</v>
      </c>
      <c r="B17" s="10" t="s">
        <v>96</v>
      </c>
      <c r="C17" s="10" t="s">
        <v>125</v>
      </c>
      <c r="D17" s="10" t="s">
        <v>134</v>
      </c>
      <c r="E17" s="31">
        <v>83413000</v>
      </c>
      <c r="F17" s="39">
        <v>0</v>
      </c>
      <c r="G17" s="40">
        <f t="shared" si="0"/>
        <v>0</v>
      </c>
      <c r="H17" s="10"/>
      <c r="I17" s="10"/>
      <c r="J17" s="41"/>
      <c r="K17" s="61">
        <v>23</v>
      </c>
      <c r="L17" s="61" t="s">
        <v>135</v>
      </c>
      <c r="M17" s="52">
        <v>1005.5460764509673</v>
      </c>
      <c r="N17" s="52">
        <v>1265.3218306750537</v>
      </c>
      <c r="O17" s="52">
        <v>1415.3545282194123</v>
      </c>
      <c r="P17" s="52">
        <v>1474.9970574450804</v>
      </c>
      <c r="Q17" s="52">
        <v>1582.5808067426628</v>
      </c>
      <c r="R17" s="52">
        <v>1782.7326257373986</v>
      </c>
      <c r="S17" s="52">
        <v>1943.2822700449346</v>
      </c>
      <c r="T17" s="52">
        <v>2318.1339330620081</v>
      </c>
      <c r="U17" s="52">
        <v>2604.2243733498917</v>
      </c>
      <c r="V17" s="52">
        <v>2850.2112091657868</v>
      </c>
      <c r="W17" s="52">
        <v>2888.3297315833388</v>
      </c>
      <c r="X17" s="52">
        <v>3159.3134381521227</v>
      </c>
      <c r="Y17" s="52">
        <v>3585.2164570480795</v>
      </c>
      <c r="Z17" s="52">
        <v>3660.3518661083222</v>
      </c>
      <c r="AA17" s="52">
        <v>3055.1655607052135</v>
      </c>
      <c r="AB17" s="52">
        <v>2213.0905894123944</v>
      </c>
      <c r="AC17" s="52">
        <v>2234.5256731961831</v>
      </c>
      <c r="AD17" s="52">
        <v>2218.9563325498316</v>
      </c>
      <c r="AE17" s="52">
        <v>2189.1341339404403</v>
      </c>
      <c r="AF17" s="52">
        <v>2280.4745183143282</v>
      </c>
      <c r="AG17" s="52">
        <v>2355.781129744089</v>
      </c>
      <c r="AH17" s="52">
        <v>2580.7560169422341</v>
      </c>
      <c r="AI17" s="52">
        <v>2616.5088780000001</v>
      </c>
      <c r="AJ17" s="47">
        <v>-0.3</v>
      </c>
      <c r="AK17" s="402"/>
      <c r="AL17" s="47">
        <f t="shared" si="11"/>
        <v>-0.52590958588272396</v>
      </c>
      <c r="AM17" s="71" t="s">
        <v>136</v>
      </c>
      <c r="AN17" s="72" t="s">
        <v>137</v>
      </c>
      <c r="AO17" s="73">
        <v>1798460021.5932519</v>
      </c>
      <c r="AP17" s="67">
        <v>2067658837.906873</v>
      </c>
      <c r="AQ17" s="67">
        <v>2104437631.9961686</v>
      </c>
      <c r="AR17" s="66">
        <v>1913131282.5494356</v>
      </c>
      <c r="AS17" s="73">
        <v>1909051408.9692099</v>
      </c>
      <c r="AT17" s="67">
        <v>2177866597.4040165</v>
      </c>
      <c r="AU17" s="67">
        <v>2229804151.6086035</v>
      </c>
      <c r="AV17" s="67">
        <v>2019786494.2388289</v>
      </c>
      <c r="AW17" s="68">
        <f t="shared" ref="AW17:AZ17" si="42">AS17*(1+$AL17*AW$2)</f>
        <v>1577735225.1156666</v>
      </c>
      <c r="AX17" s="69">
        <f t="shared" si="42"/>
        <v>1032505677.0554531</v>
      </c>
      <c r="AY17" s="69">
        <f t="shared" si="42"/>
        <v>1455838402.1470444</v>
      </c>
      <c r="AZ17" s="70">
        <f t="shared" si="42"/>
        <v>1669252218.2491307</v>
      </c>
      <c r="BA17" s="68">
        <f t="shared" ref="BA17:BD17" si="43">AS17*(1+$AL17*BA$2)</f>
        <v>1577735225.1156666</v>
      </c>
      <c r="BB17" s="69">
        <f t="shared" si="43"/>
        <v>1032505677.0554531</v>
      </c>
      <c r="BC17" s="69">
        <f t="shared" si="43"/>
        <v>1643466462.6225736</v>
      </c>
      <c r="BD17" s="70">
        <f t="shared" si="43"/>
        <v>1807341478.4874966</v>
      </c>
      <c r="BE17" s="68">
        <f t="shared" ref="BE17:BH17" si="44">AS17*(1+$AL17*BE$2)</f>
        <v>1577735225.1156666</v>
      </c>
      <c r="BF17" s="69">
        <f t="shared" si="44"/>
        <v>1032505677.0554531</v>
      </c>
      <c r="BG17" s="69">
        <f t="shared" si="44"/>
        <v>1842821276.8778238</v>
      </c>
      <c r="BH17" s="70">
        <f t="shared" si="44"/>
        <v>2019786494.2388289</v>
      </c>
      <c r="BI17" s="10"/>
      <c r="BJ17" s="10"/>
    </row>
    <row r="18" spans="1:62" ht="14.25" customHeight="1">
      <c r="A18" s="10" t="s">
        <v>95</v>
      </c>
      <c r="B18" s="10" t="s">
        <v>96</v>
      </c>
      <c r="C18" s="10" t="s">
        <v>138</v>
      </c>
      <c r="D18" s="10" t="s">
        <v>139</v>
      </c>
      <c r="E18" s="31">
        <v>108917000</v>
      </c>
      <c r="F18" s="39">
        <v>0</v>
      </c>
      <c r="G18" s="40">
        <f t="shared" si="0"/>
        <v>0</v>
      </c>
      <c r="H18" s="10"/>
      <c r="I18" s="10"/>
      <c r="J18" s="41"/>
      <c r="K18" s="61">
        <v>24</v>
      </c>
      <c r="L18" s="61" t="s">
        <v>140</v>
      </c>
      <c r="M18" s="52">
        <v>414.54549741238401</v>
      </c>
      <c r="N18" s="52">
        <v>269.79587681486868</v>
      </c>
      <c r="O18" s="52">
        <v>414.54406471054529</v>
      </c>
      <c r="P18" s="52">
        <v>434.57444595516989</v>
      </c>
      <c r="Q18" s="52">
        <v>356.07899342244241</v>
      </c>
      <c r="R18" s="52">
        <v>374.13877239071633</v>
      </c>
      <c r="S18" s="52">
        <v>380.0593115315981</v>
      </c>
      <c r="T18" s="52">
        <v>550.20536727918511</v>
      </c>
      <c r="U18" s="52">
        <v>465.20795318574596</v>
      </c>
      <c r="V18" s="52">
        <v>444.36032592738508</v>
      </c>
      <c r="W18" s="52">
        <v>605.67823936631373</v>
      </c>
      <c r="X18" s="52">
        <v>750.57225682519959</v>
      </c>
      <c r="Y18" s="52">
        <v>656.16642028910212</v>
      </c>
      <c r="Z18" s="52">
        <v>507.38109301253462</v>
      </c>
      <c r="AA18" s="52">
        <v>428.20748418389701</v>
      </c>
      <c r="AB18" s="52">
        <v>569.80805782789037</v>
      </c>
      <c r="AC18" s="52">
        <v>618.07463726685569</v>
      </c>
      <c r="AD18" s="52">
        <v>523.54893926704881</v>
      </c>
      <c r="AE18" s="52">
        <v>516.81196038627047</v>
      </c>
      <c r="AF18" s="52">
        <v>532.72042993455409</v>
      </c>
      <c r="AG18" s="52">
        <v>452.46072999715136</v>
      </c>
      <c r="AH18" s="52">
        <v>461.28793049097004</v>
      </c>
      <c r="AI18" s="52">
        <v>448.38190600000001</v>
      </c>
      <c r="AJ18" s="47">
        <v>-0.3</v>
      </c>
      <c r="AK18" s="402"/>
      <c r="AL18" s="47">
        <f t="shared" si="11"/>
        <v>-0.05</v>
      </c>
      <c r="AM18" s="71" t="s">
        <v>141</v>
      </c>
      <c r="AN18" s="72" t="s">
        <v>142</v>
      </c>
      <c r="AO18" s="73">
        <v>4130592221.4976058</v>
      </c>
      <c r="AP18" s="67">
        <v>4253220851.7532821</v>
      </c>
      <c r="AQ18" s="67">
        <v>4280526728.6929507</v>
      </c>
      <c r="AR18" s="66">
        <v>4222703171.6520257</v>
      </c>
      <c r="AS18" s="73">
        <v>4291026981.0160794</v>
      </c>
      <c r="AT18" s="67">
        <v>4486989525.7287045</v>
      </c>
      <c r="AU18" s="67">
        <v>4526669566.6131687</v>
      </c>
      <c r="AV18" s="67">
        <v>4414825930.062232</v>
      </c>
      <c r="AW18" s="68">
        <f t="shared" ref="AW18:AZ18" si="45">AS18*(1+$AL18*AW$2)</f>
        <v>4220225035.8293142</v>
      </c>
      <c r="AX18" s="69">
        <f t="shared" si="45"/>
        <v>4262640049.4422688</v>
      </c>
      <c r="AY18" s="69">
        <f t="shared" si="45"/>
        <v>4377289470.9149342</v>
      </c>
      <c r="AZ18" s="70">
        <f t="shared" si="45"/>
        <v>4341981302.2162056</v>
      </c>
      <c r="BA18" s="68">
        <f t="shared" ref="BA18:BD18" si="46">AS18*(1+$AL18*BA$2)</f>
        <v>4220225035.8293142</v>
      </c>
      <c r="BB18" s="69">
        <f t="shared" si="46"/>
        <v>4262640049.4422688</v>
      </c>
      <c r="BC18" s="69">
        <f t="shared" si="46"/>
        <v>4413502827.4478397</v>
      </c>
      <c r="BD18" s="70">
        <f t="shared" si="46"/>
        <v>4370677670.76161</v>
      </c>
      <c r="BE18" s="68">
        <f t="shared" ref="BE18:BH18" si="47">AS18*(1+$AL18*BE$2)</f>
        <v>4220225035.8293142</v>
      </c>
      <c r="BF18" s="69">
        <f t="shared" si="47"/>
        <v>4262640049.4422688</v>
      </c>
      <c r="BG18" s="69">
        <f t="shared" si="47"/>
        <v>4451979518.7640514</v>
      </c>
      <c r="BH18" s="70">
        <f t="shared" si="47"/>
        <v>4414825930.062232</v>
      </c>
      <c r="BI18" s="10"/>
      <c r="BJ18" s="10"/>
    </row>
    <row r="19" spans="1:62" ht="14.25" customHeight="1">
      <c r="A19" s="10" t="s">
        <v>95</v>
      </c>
      <c r="B19" s="10" t="s">
        <v>96</v>
      </c>
      <c r="C19" s="10" t="s">
        <v>138</v>
      </c>
      <c r="D19" s="10" t="s">
        <v>143</v>
      </c>
      <c r="E19" s="31">
        <v>357740000</v>
      </c>
      <c r="F19" s="39">
        <v>0</v>
      </c>
      <c r="G19" s="40">
        <f t="shared" si="0"/>
        <v>0</v>
      </c>
      <c r="H19" s="10"/>
      <c r="I19" s="10"/>
      <c r="J19" s="41"/>
      <c r="K19" s="61">
        <v>25</v>
      </c>
      <c r="L19" s="61" t="s">
        <v>144</v>
      </c>
      <c r="M19" s="52">
        <v>1422.0083957698344</v>
      </c>
      <c r="N19" s="52">
        <v>1542.4918751043936</v>
      </c>
      <c r="O19" s="52">
        <v>1708.93396179355</v>
      </c>
      <c r="P19" s="52">
        <v>1662.9917706810488</v>
      </c>
      <c r="Q19" s="52">
        <v>1678.700698413744</v>
      </c>
      <c r="R19" s="52">
        <v>1760.0097593544883</v>
      </c>
      <c r="S19" s="52">
        <v>2019.4911587419438</v>
      </c>
      <c r="T19" s="52">
        <v>2489.9640915502041</v>
      </c>
      <c r="U19" s="52">
        <v>2868.7531882067819</v>
      </c>
      <c r="V19" s="52">
        <v>2974.8943400164439</v>
      </c>
      <c r="W19" s="52">
        <v>3058.4284333347196</v>
      </c>
      <c r="X19" s="52">
        <v>3671.7810061769774</v>
      </c>
      <c r="Y19" s="52">
        <v>4277.6326787816943</v>
      </c>
      <c r="Z19" s="52">
        <v>4600.89227275761</v>
      </c>
      <c r="AA19" s="52">
        <v>4180.8217773230099</v>
      </c>
      <c r="AB19" s="52">
        <v>3501.1640382914029</v>
      </c>
      <c r="AC19" s="52">
        <v>3751.7315025633316</v>
      </c>
      <c r="AD19" s="52">
        <v>3764.9885876198596</v>
      </c>
      <c r="AE19" s="52">
        <v>3911.9577575760536</v>
      </c>
      <c r="AF19" s="52">
        <v>4063.419499211956</v>
      </c>
      <c r="AG19" s="52">
        <v>4483.3744809485661</v>
      </c>
      <c r="AH19" s="52">
        <v>5428.7459007121497</v>
      </c>
      <c r="AI19" s="52">
        <v>5728.884924</v>
      </c>
      <c r="AJ19" s="47">
        <v>-0.3</v>
      </c>
      <c r="AK19" s="402"/>
      <c r="AL19" s="47">
        <f t="shared" si="11"/>
        <v>-0.05</v>
      </c>
      <c r="AM19" s="71" t="s">
        <v>145</v>
      </c>
      <c r="AN19" s="72" t="s">
        <v>146</v>
      </c>
      <c r="AO19" s="73">
        <v>3880895881.9072118</v>
      </c>
      <c r="AP19" s="67">
        <v>4027151736.0434813</v>
      </c>
      <c r="AQ19" s="67">
        <v>4036941995.2910008</v>
      </c>
      <c r="AR19" s="66">
        <v>3962204947.4729667</v>
      </c>
      <c r="AS19" s="73">
        <v>4059910476.0957546</v>
      </c>
      <c r="AT19" s="67">
        <v>4238726199.3988762</v>
      </c>
      <c r="AU19" s="67">
        <v>4258161874.3666344</v>
      </c>
      <c r="AV19" s="67">
        <v>4198847020.791544</v>
      </c>
      <c r="AW19" s="68">
        <f t="shared" ref="AW19:AZ19" si="48">AS19*(1+$AL19*AW$2)</f>
        <v>3992921953.2401748</v>
      </c>
      <c r="AX19" s="69">
        <f t="shared" si="48"/>
        <v>4026789889.4289322</v>
      </c>
      <c r="AY19" s="69">
        <f t="shared" si="48"/>
        <v>4117642532.5125351</v>
      </c>
      <c r="AZ19" s="70">
        <f t="shared" si="48"/>
        <v>4129566044.9484835</v>
      </c>
      <c r="BA19" s="68">
        <f t="shared" ref="BA19:BD19" si="49">AS19*(1+$AL19*BA$2)</f>
        <v>3992921953.2401748</v>
      </c>
      <c r="BB19" s="69">
        <f t="shared" si="49"/>
        <v>4026789889.4289322</v>
      </c>
      <c r="BC19" s="69">
        <f t="shared" si="49"/>
        <v>4151707827.5074682</v>
      </c>
      <c r="BD19" s="70">
        <f t="shared" si="49"/>
        <v>4156858550.5836287</v>
      </c>
      <c r="BE19" s="68">
        <f t="shared" ref="BE19:BH19" si="50">AS19*(1+$AL19*BE$2)</f>
        <v>3992921953.2401748</v>
      </c>
      <c r="BF19" s="69">
        <f t="shared" si="50"/>
        <v>4026789889.4289322</v>
      </c>
      <c r="BG19" s="69">
        <f t="shared" si="50"/>
        <v>4187902203.4395852</v>
      </c>
      <c r="BH19" s="70">
        <f t="shared" si="50"/>
        <v>4198847020.791544</v>
      </c>
      <c r="BI19" s="10"/>
      <c r="BJ19" s="10"/>
    </row>
    <row r="20" spans="1:62" ht="14.25" customHeight="1">
      <c r="A20" s="10" t="s">
        <v>95</v>
      </c>
      <c r="B20" s="10" t="s">
        <v>96</v>
      </c>
      <c r="C20" s="10" t="s">
        <v>138</v>
      </c>
      <c r="D20" s="10" t="s">
        <v>147</v>
      </c>
      <c r="E20" s="31">
        <v>208854000</v>
      </c>
      <c r="F20" s="39">
        <v>0</v>
      </c>
      <c r="G20" s="40">
        <f t="shared" si="0"/>
        <v>0</v>
      </c>
      <c r="H20" s="10"/>
      <c r="I20" s="10"/>
      <c r="J20" s="41"/>
      <c r="K20" s="61">
        <v>26</v>
      </c>
      <c r="L20" s="61" t="s">
        <v>148</v>
      </c>
      <c r="M20" s="52">
        <v>511.40872259879484</v>
      </c>
      <c r="N20" s="52">
        <v>648.97245384644611</v>
      </c>
      <c r="O20" s="52">
        <v>695.34828135594535</v>
      </c>
      <c r="P20" s="52">
        <v>693.41764569372378</v>
      </c>
      <c r="Q20" s="52">
        <v>800.00033303308226</v>
      </c>
      <c r="R20" s="52">
        <v>1101.1463919389787</v>
      </c>
      <c r="S20" s="52">
        <v>1181.6512268284839</v>
      </c>
      <c r="T20" s="52">
        <v>1234.0709849015955</v>
      </c>
      <c r="U20" s="52">
        <v>1465.3426858093628</v>
      </c>
      <c r="V20" s="52">
        <v>1626.80382188462</v>
      </c>
      <c r="W20" s="52">
        <v>1721.049687061583</v>
      </c>
      <c r="X20" s="52">
        <v>1898.9635179492443</v>
      </c>
      <c r="Y20" s="52">
        <v>2179.2034103643505</v>
      </c>
      <c r="Z20" s="52">
        <v>2285.0064307730636</v>
      </c>
      <c r="AA20" s="52">
        <v>2144.1492333335786</v>
      </c>
      <c r="AB20" s="52">
        <v>2003.6467642811733</v>
      </c>
      <c r="AC20" s="52">
        <v>1837.832875344923</v>
      </c>
      <c r="AD20" s="52">
        <v>1638.5243306199523</v>
      </c>
      <c r="AE20" s="52">
        <v>1315.3133729830704</v>
      </c>
      <c r="AF20" s="52">
        <v>1413.9314517486125</v>
      </c>
      <c r="AG20" s="52">
        <v>1552.0507889983464</v>
      </c>
      <c r="AH20" s="52">
        <v>1832.8625376809489</v>
      </c>
      <c r="AI20" s="52">
        <v>1771.548196</v>
      </c>
      <c r="AJ20" s="47">
        <v>-0.3</v>
      </c>
      <c r="AK20" s="402"/>
      <c r="AL20" s="47">
        <f t="shared" si="11"/>
        <v>0</v>
      </c>
      <c r="AM20" s="71" t="s">
        <v>149</v>
      </c>
      <c r="AN20" s="72" t="s">
        <v>150</v>
      </c>
      <c r="AO20" s="73">
        <v>3873119312.3158937</v>
      </c>
      <c r="AP20" s="67">
        <v>4038958464.1243272</v>
      </c>
      <c r="AQ20" s="67">
        <v>4084406757.2179623</v>
      </c>
      <c r="AR20" s="66">
        <v>4052445396.5275102</v>
      </c>
      <c r="AS20" s="73">
        <v>4094940557.4877234</v>
      </c>
      <c r="AT20" s="67">
        <v>4265457998.4727039</v>
      </c>
      <c r="AU20" s="67">
        <v>4329920866.5782242</v>
      </c>
      <c r="AV20" s="67">
        <v>4277716264.2808185</v>
      </c>
      <c r="AW20" s="68">
        <f t="shared" ref="AW20:AZ20" si="51">AS20*(1+$AL20*AW$2)</f>
        <v>4094940557.4877234</v>
      </c>
      <c r="AX20" s="69">
        <f t="shared" si="51"/>
        <v>4265457998.4727039</v>
      </c>
      <c r="AY20" s="69">
        <f t="shared" si="51"/>
        <v>4329920866.5782242</v>
      </c>
      <c r="AZ20" s="70">
        <f t="shared" si="51"/>
        <v>4277716264.2808185</v>
      </c>
      <c r="BA20" s="68">
        <f t="shared" ref="BA20:BD20" si="52">AS20*(1+$AL20*BA$2)</f>
        <v>4094940557.4877234</v>
      </c>
      <c r="BB20" s="69">
        <f t="shared" si="52"/>
        <v>4265457998.4727039</v>
      </c>
      <c r="BC20" s="69">
        <f t="shared" si="52"/>
        <v>4329920866.5782242</v>
      </c>
      <c r="BD20" s="70">
        <f t="shared" si="52"/>
        <v>4277716264.2808185</v>
      </c>
      <c r="BE20" s="68">
        <f t="shared" ref="BE20:BH20" si="53">AS20*(1+$AL20*BE$2)</f>
        <v>4094940557.4877234</v>
      </c>
      <c r="BF20" s="69">
        <f t="shared" si="53"/>
        <v>4265457998.4727039</v>
      </c>
      <c r="BG20" s="69">
        <f t="shared" si="53"/>
        <v>4329920866.5782242</v>
      </c>
      <c r="BH20" s="70">
        <f t="shared" si="53"/>
        <v>4277716264.2808185</v>
      </c>
      <c r="BI20" s="10"/>
      <c r="BJ20" s="10"/>
    </row>
    <row r="21" spans="1:62" ht="14.25" customHeight="1">
      <c r="A21" s="10" t="s">
        <v>95</v>
      </c>
      <c r="B21" s="10" t="s">
        <v>96</v>
      </c>
      <c r="C21" s="10" t="s">
        <v>138</v>
      </c>
      <c r="D21" s="10" t="s">
        <v>151</v>
      </c>
      <c r="E21" s="31">
        <v>25146000</v>
      </c>
      <c r="F21" s="39">
        <v>0</v>
      </c>
      <c r="G21" s="40">
        <f t="shared" si="0"/>
        <v>0</v>
      </c>
      <c r="H21" s="10"/>
      <c r="I21" s="10"/>
      <c r="J21" s="41"/>
      <c r="K21" s="61">
        <v>27</v>
      </c>
      <c r="L21" s="61" t="s">
        <v>152</v>
      </c>
      <c r="M21" s="52">
        <v>818.8171152803543</v>
      </c>
      <c r="N21" s="52">
        <v>819.84678261285353</v>
      </c>
      <c r="O21" s="52">
        <v>935.93445904160455</v>
      </c>
      <c r="P21" s="52">
        <v>958.9234702329145</v>
      </c>
      <c r="Q21" s="52">
        <v>961.35729892535949</v>
      </c>
      <c r="R21" s="52">
        <v>1077.5220958199568</v>
      </c>
      <c r="S21" s="52">
        <v>1185.3730086535759</v>
      </c>
      <c r="T21" s="52">
        <v>1248.3265703327045</v>
      </c>
      <c r="U21" s="52">
        <v>1436.5607069900441</v>
      </c>
      <c r="V21" s="52">
        <v>1664.5305469205418</v>
      </c>
      <c r="W21" s="52">
        <v>1684.9713914947404</v>
      </c>
      <c r="X21" s="52">
        <v>1933.891776769884</v>
      </c>
      <c r="Y21" s="52">
        <v>2062.2067899204799</v>
      </c>
      <c r="Z21" s="52">
        <v>2352.820712156953</v>
      </c>
      <c r="AA21" s="52">
        <v>2216.9722955882348</v>
      </c>
      <c r="AB21" s="52">
        <v>1898.3892208525037</v>
      </c>
      <c r="AC21" s="52">
        <v>1747.8306610400609</v>
      </c>
      <c r="AD21" s="52">
        <v>1467.425000116745</v>
      </c>
      <c r="AE21" s="52">
        <v>1469.2136277652999</v>
      </c>
      <c r="AF21" s="52">
        <v>1740.5195296414338</v>
      </c>
      <c r="AG21" s="52">
        <v>1862.7236688841324</v>
      </c>
      <c r="AH21" s="52">
        <v>2115.9809973313154</v>
      </c>
      <c r="AI21" s="52">
        <v>2180.688345</v>
      </c>
      <c r="AJ21" s="47">
        <v>-0.3</v>
      </c>
      <c r="AK21" s="402"/>
      <c r="AL21" s="47">
        <f t="shared" si="11"/>
        <v>-1</v>
      </c>
      <c r="AM21" s="71" t="s">
        <v>153</v>
      </c>
      <c r="AN21" s="72" t="s">
        <v>154</v>
      </c>
      <c r="AO21" s="73">
        <v>1485349427.3667221</v>
      </c>
      <c r="AP21" s="67">
        <v>1594712724.1842251</v>
      </c>
      <c r="AQ21" s="67">
        <v>1615967279.4739494</v>
      </c>
      <c r="AR21" s="66">
        <v>1567515690.5507941</v>
      </c>
      <c r="AS21" s="73">
        <v>1555910261.619422</v>
      </c>
      <c r="AT21" s="67">
        <v>1657885155.0249166</v>
      </c>
      <c r="AU21" s="67">
        <v>1690344977.8078318</v>
      </c>
      <c r="AV21" s="67">
        <v>1662252011.2987101</v>
      </c>
      <c r="AW21" s="68">
        <f t="shared" ref="AW21:AZ21" si="54">AS21*(1+$AL21*AW$2)</f>
        <v>1042459875.2850126</v>
      </c>
      <c r="AX21" s="69">
        <f t="shared" si="54"/>
        <v>0</v>
      </c>
      <c r="AY21" s="69">
        <f t="shared" si="54"/>
        <v>574717292.4546628</v>
      </c>
      <c r="AZ21" s="70">
        <f t="shared" si="54"/>
        <v>1113708847.5701356</v>
      </c>
      <c r="BA21" s="68">
        <f t="shared" ref="BA21:BD21" si="55">AS21*(1+$AL21*BA$2)</f>
        <v>1042459875.2850126</v>
      </c>
      <c r="BB21" s="69">
        <f t="shared" si="55"/>
        <v>0</v>
      </c>
      <c r="BC21" s="69">
        <f t="shared" si="55"/>
        <v>845172488.90391588</v>
      </c>
      <c r="BD21" s="70">
        <f t="shared" si="55"/>
        <v>1329801609.0389681</v>
      </c>
      <c r="BE21" s="68">
        <f t="shared" ref="BE21:BH21" si="56">AS21*(1+$AL21*BE$2)</f>
        <v>1042459875.2850126</v>
      </c>
      <c r="BF21" s="69">
        <f t="shared" si="56"/>
        <v>0</v>
      </c>
      <c r="BG21" s="69">
        <f t="shared" si="56"/>
        <v>1132531135.131247</v>
      </c>
      <c r="BH21" s="70">
        <f t="shared" si="56"/>
        <v>1662252011.2987101</v>
      </c>
      <c r="BI21" s="10"/>
      <c r="BJ21" s="10"/>
    </row>
    <row r="22" spans="1:62" ht="14.25" customHeight="1">
      <c r="A22" s="10" t="s">
        <v>95</v>
      </c>
      <c r="B22" s="10" t="s">
        <v>96</v>
      </c>
      <c r="C22" s="10" t="s">
        <v>138</v>
      </c>
      <c r="D22" s="10" t="s">
        <v>155</v>
      </c>
      <c r="E22" s="31">
        <v>266041000</v>
      </c>
      <c r="F22" s="39">
        <v>0</v>
      </c>
      <c r="G22" s="40">
        <f t="shared" si="0"/>
        <v>0</v>
      </c>
      <c r="H22" s="10"/>
      <c r="I22" s="10"/>
      <c r="J22" s="41"/>
      <c r="K22" s="61">
        <v>28</v>
      </c>
      <c r="L22" s="61" t="s">
        <v>156</v>
      </c>
      <c r="M22" s="52">
        <v>1008.2790855296821</v>
      </c>
      <c r="N22" s="52">
        <v>950.72659337798018</v>
      </c>
      <c r="O22" s="52">
        <v>1160.0463227339278</v>
      </c>
      <c r="P22" s="52">
        <v>939.5106152625408</v>
      </c>
      <c r="Q22" s="52">
        <v>964.10460402926731</v>
      </c>
      <c r="R22" s="52">
        <v>888.03641457813717</v>
      </c>
      <c r="S22" s="52">
        <v>1388.9511622478567</v>
      </c>
      <c r="T22" s="52">
        <v>1497.4759053165044</v>
      </c>
      <c r="U22" s="52">
        <v>1500.1053623901591</v>
      </c>
      <c r="V22" s="52">
        <v>1626.9243824942184</v>
      </c>
      <c r="W22" s="52">
        <v>1670.2797214533596</v>
      </c>
      <c r="X22" s="52">
        <v>1833.4959877035785</v>
      </c>
      <c r="Y22" s="52">
        <v>2084.5384275860374</v>
      </c>
      <c r="Z22" s="52">
        <v>1923.2199848726559</v>
      </c>
      <c r="AA22" s="52">
        <v>1653.983103454914</v>
      </c>
      <c r="AB22" s="52">
        <v>1546.0152108155798</v>
      </c>
      <c r="AC22" s="52">
        <v>1706.7451500193911</v>
      </c>
      <c r="AD22" s="52">
        <v>1625.4423674077864</v>
      </c>
      <c r="AE22" s="52">
        <v>1645.5809738896464</v>
      </c>
      <c r="AF22" s="52">
        <v>1787.226755596407</v>
      </c>
      <c r="AG22" s="52">
        <v>1963.7182131627121</v>
      </c>
      <c r="AH22" s="52">
        <v>2054.5203672470707</v>
      </c>
      <c r="AI22" s="52">
        <v>2122.5113620000002</v>
      </c>
      <c r="AJ22" s="47">
        <v>-0.3</v>
      </c>
      <c r="AK22" s="402"/>
      <c r="AL22" s="47">
        <f t="shared" si="11"/>
        <v>-0.5</v>
      </c>
      <c r="AM22" s="71" t="s">
        <v>157</v>
      </c>
      <c r="AN22" s="72" t="s">
        <v>158</v>
      </c>
      <c r="AO22" s="73">
        <v>1289669719.3770163</v>
      </c>
      <c r="AP22" s="67">
        <v>1348544650.7675931</v>
      </c>
      <c r="AQ22" s="67">
        <v>1368489819.811275</v>
      </c>
      <c r="AR22" s="66">
        <v>1343463881.8693728</v>
      </c>
      <c r="AS22" s="73">
        <v>1338688032.9314542</v>
      </c>
      <c r="AT22" s="67">
        <v>1397931872.3462901</v>
      </c>
      <c r="AU22" s="67">
        <v>1480650235.5826817</v>
      </c>
      <c r="AV22" s="67">
        <v>1414724963.0465534</v>
      </c>
      <c r="AW22" s="68">
        <f t="shared" ref="AW22:AZ22" si="57">AS22*(1+$AL22*AW$2)</f>
        <v>1117804507.4977641</v>
      </c>
      <c r="AX22" s="69">
        <f t="shared" si="57"/>
        <v>698965936.17314506</v>
      </c>
      <c r="AY22" s="69">
        <f t="shared" si="57"/>
        <v>992035657.84039664</v>
      </c>
      <c r="AZ22" s="70">
        <f t="shared" si="57"/>
        <v>1181295344.143872</v>
      </c>
      <c r="BA22" s="68">
        <f t="shared" ref="BA22:BD22" si="58">AS22*(1+$AL22*BA$2)</f>
        <v>1117804507.4977641</v>
      </c>
      <c r="BB22" s="69">
        <f t="shared" si="58"/>
        <v>698965936.17314506</v>
      </c>
      <c r="BC22" s="69">
        <f t="shared" si="58"/>
        <v>1110487676.6870112</v>
      </c>
      <c r="BD22" s="70">
        <f t="shared" si="58"/>
        <v>1273252466.7418981</v>
      </c>
      <c r="BE22" s="68">
        <f t="shared" ref="BE22:BH22" si="59">AS22*(1+$AL22*BE$2)</f>
        <v>1117804507.4977641</v>
      </c>
      <c r="BF22" s="69">
        <f t="shared" si="59"/>
        <v>698965936.17314506</v>
      </c>
      <c r="BG22" s="69">
        <f t="shared" si="59"/>
        <v>1236342946.711539</v>
      </c>
      <c r="BH22" s="70">
        <f t="shared" si="59"/>
        <v>1414724963.0465534</v>
      </c>
      <c r="BI22" s="10"/>
      <c r="BJ22" s="10"/>
    </row>
    <row r="23" spans="1:62" ht="14.25" customHeight="1">
      <c r="A23" s="10" t="s">
        <v>95</v>
      </c>
      <c r="B23" s="10" t="s">
        <v>96</v>
      </c>
      <c r="C23" s="10" t="s">
        <v>159</v>
      </c>
      <c r="D23" s="10" t="s">
        <v>160</v>
      </c>
      <c r="E23" s="31">
        <v>147515000</v>
      </c>
      <c r="F23" s="39">
        <v>0</v>
      </c>
      <c r="G23" s="40">
        <f t="shared" si="0"/>
        <v>0</v>
      </c>
      <c r="H23" s="10"/>
      <c r="I23" s="10"/>
      <c r="J23" s="41"/>
      <c r="K23" s="61">
        <v>29</v>
      </c>
      <c r="L23" s="61" t="s">
        <v>161</v>
      </c>
      <c r="M23" s="52">
        <v>178.11799366633201</v>
      </c>
      <c r="N23" s="52">
        <v>159.70790085107427</v>
      </c>
      <c r="O23" s="52">
        <v>180.34884375840443</v>
      </c>
      <c r="P23" s="52">
        <v>237.93867325226617</v>
      </c>
      <c r="Q23" s="52">
        <v>199.8876445166897</v>
      </c>
      <c r="R23" s="52">
        <v>174.75985470109671</v>
      </c>
      <c r="S23" s="52">
        <v>155.94195090005195</v>
      </c>
      <c r="T23" s="52">
        <v>324.65867750612688</v>
      </c>
      <c r="U23" s="52">
        <v>402.87975504058136</v>
      </c>
      <c r="V23" s="52">
        <v>353.00735364792479</v>
      </c>
      <c r="W23" s="52">
        <v>423.79157706626961</v>
      </c>
      <c r="X23" s="52">
        <v>443.92950823329141</v>
      </c>
      <c r="Y23" s="52">
        <v>485.72053288074159</v>
      </c>
      <c r="Z23" s="52">
        <v>529.54641219365067</v>
      </c>
      <c r="AA23" s="52">
        <v>468.81099707467507</v>
      </c>
      <c r="AB23" s="52">
        <v>432.21536443625092</v>
      </c>
      <c r="AC23" s="52">
        <v>403.04676579224656</v>
      </c>
      <c r="AD23" s="52">
        <v>351.15354561815093</v>
      </c>
      <c r="AE23" s="52">
        <v>265.01441555217303</v>
      </c>
      <c r="AF23" s="52">
        <v>283.64606099605226</v>
      </c>
      <c r="AG23" s="52">
        <v>342.62003094728948</v>
      </c>
      <c r="AH23" s="52">
        <v>414.0697492790178</v>
      </c>
      <c r="AI23" s="52">
        <v>393.75166200000001</v>
      </c>
      <c r="AJ23" s="47">
        <v>-0.5</v>
      </c>
      <c r="AK23" s="402"/>
      <c r="AL23" s="47">
        <f t="shared" si="11"/>
        <v>0</v>
      </c>
      <c r="AM23" s="74" t="s">
        <v>162</v>
      </c>
      <c r="AN23" s="75" t="s">
        <v>163</v>
      </c>
      <c r="AO23" s="73">
        <v>28881897.735942733</v>
      </c>
      <c r="AP23" s="67">
        <v>32786540.924800377</v>
      </c>
      <c r="AQ23" s="67">
        <v>31905546.646126527</v>
      </c>
      <c r="AR23" s="66">
        <v>29303225.084505342</v>
      </c>
      <c r="AS23" s="73">
        <v>27954557.059249841</v>
      </c>
      <c r="AT23" s="67">
        <v>29748575.567841545</v>
      </c>
      <c r="AU23" s="67">
        <v>29465117.243172906</v>
      </c>
      <c r="AV23" s="67">
        <v>26755742.275599446</v>
      </c>
      <c r="AW23" s="68">
        <f t="shared" ref="AW23:AZ23" si="60">AS23*(1+$AL23*AW$2)</f>
        <v>27954557.059249841</v>
      </c>
      <c r="AX23" s="69">
        <f t="shared" si="60"/>
        <v>29748575.567841545</v>
      </c>
      <c r="AY23" s="69">
        <f t="shared" si="60"/>
        <v>29465117.243172906</v>
      </c>
      <c r="AZ23" s="70">
        <f t="shared" si="60"/>
        <v>26755742.275599446</v>
      </c>
      <c r="BA23" s="68">
        <f t="shared" ref="BA23:BD23" si="61">AS23*(1+$AL23*BA$2)</f>
        <v>27954557.059249841</v>
      </c>
      <c r="BB23" s="69">
        <f t="shared" si="61"/>
        <v>29748575.567841545</v>
      </c>
      <c r="BC23" s="69">
        <f t="shared" si="61"/>
        <v>29465117.243172906</v>
      </c>
      <c r="BD23" s="70">
        <f t="shared" si="61"/>
        <v>26755742.275599446</v>
      </c>
      <c r="BE23" s="68">
        <f t="shared" ref="BE23:BH23" si="62">AS23*(1+$AL23*BE$2)</f>
        <v>27954557.059249841</v>
      </c>
      <c r="BF23" s="69">
        <f t="shared" si="62"/>
        <v>29748575.567841545</v>
      </c>
      <c r="BG23" s="69">
        <f t="shared" si="62"/>
        <v>29465117.243172906</v>
      </c>
      <c r="BH23" s="70">
        <f t="shared" si="62"/>
        <v>26755742.275599446</v>
      </c>
      <c r="BI23" s="10"/>
      <c r="BJ23" s="10"/>
    </row>
    <row r="24" spans="1:62" ht="14.25" customHeight="1">
      <c r="A24" s="10" t="s">
        <v>95</v>
      </c>
      <c r="B24" s="10" t="s">
        <v>96</v>
      </c>
      <c r="C24" s="10" t="s">
        <v>159</v>
      </c>
      <c r="D24" s="10" t="s">
        <v>164</v>
      </c>
      <c r="E24" s="31">
        <v>926000</v>
      </c>
      <c r="F24" s="39">
        <v>0</v>
      </c>
      <c r="G24" s="40">
        <f t="shared" si="0"/>
        <v>0</v>
      </c>
      <c r="H24" s="10"/>
      <c r="I24" s="10"/>
      <c r="J24" s="41"/>
      <c r="K24" s="61">
        <v>30</v>
      </c>
      <c r="L24" s="61" t="s">
        <v>165</v>
      </c>
      <c r="M24" s="52">
        <v>447.16463868033435</v>
      </c>
      <c r="N24" s="52">
        <v>646.71100399991349</v>
      </c>
      <c r="O24" s="52">
        <v>699.9329096295271</v>
      </c>
      <c r="P24" s="52">
        <v>822.2137579706955</v>
      </c>
      <c r="Q24" s="52">
        <v>950.70423728965659</v>
      </c>
      <c r="R24" s="52">
        <v>1091.3722330163464</v>
      </c>
      <c r="S24" s="52">
        <v>1135.7110157628213</v>
      </c>
      <c r="T24" s="52">
        <v>1226.3063213945345</v>
      </c>
      <c r="U24" s="52">
        <v>1175.8434418935017</v>
      </c>
      <c r="V24" s="52">
        <v>1484.8064750865988</v>
      </c>
      <c r="W24" s="52">
        <v>1227.7971829314938</v>
      </c>
      <c r="X24" s="52">
        <v>1584.6507879776277</v>
      </c>
      <c r="Y24" s="52">
        <v>1601.0318788101854</v>
      </c>
      <c r="Z24" s="52">
        <v>1652.9993949874267</v>
      </c>
      <c r="AA24" s="52">
        <v>1639.3189445088271</v>
      </c>
      <c r="AB24" s="52">
        <v>1570.7491993127289</v>
      </c>
      <c r="AC24" s="52">
        <v>1516.8435203732604</v>
      </c>
      <c r="AD24" s="52">
        <v>1367.2731782098265</v>
      </c>
      <c r="AE24" s="52">
        <v>466.61760120360805</v>
      </c>
      <c r="AF24" s="52">
        <v>666.20637861480714</v>
      </c>
      <c r="AG24" s="52">
        <v>583.19831196208145</v>
      </c>
      <c r="AH24" s="52">
        <v>699.30146376360415</v>
      </c>
      <c r="AI24" s="52">
        <v>665.14563399999997</v>
      </c>
      <c r="AJ24" s="47">
        <f>SUMPRODUCT(E154:E160,F154:F160)/SUM(E154:E160)</f>
        <v>-0.40740497531674896</v>
      </c>
      <c r="AK24" s="10"/>
      <c r="AL24" s="10"/>
      <c r="AM24" s="76" t="s">
        <v>166</v>
      </c>
      <c r="AN24" s="77"/>
      <c r="AO24" s="78">
        <v>70683079140.35228</v>
      </c>
      <c r="AP24" s="79">
        <v>79396918220.089264</v>
      </c>
      <c r="AQ24" s="79">
        <v>86842405158.231934</v>
      </c>
      <c r="AR24" s="80">
        <v>77964036462.941055</v>
      </c>
      <c r="AS24" s="78">
        <v>74012192536.97316</v>
      </c>
      <c r="AT24" s="79">
        <v>82470573054.524857</v>
      </c>
      <c r="AU24" s="79">
        <v>90670065322.891006</v>
      </c>
      <c r="AV24" s="79">
        <v>81083380439.356857</v>
      </c>
      <c r="AW24" s="81">
        <f t="shared" ref="AW24:BH24" si="63">SUM(AW4:AW23)</f>
        <v>66727400036.580383</v>
      </c>
      <c r="AX24" s="82">
        <f t="shared" si="63"/>
        <v>55018215382.435143</v>
      </c>
      <c r="AY24" s="82">
        <f t="shared" si="63"/>
        <v>68099334156.769684</v>
      </c>
      <c r="AZ24" s="83">
        <f t="shared" si="63"/>
        <v>72942329607.079727</v>
      </c>
      <c r="BA24" s="81">
        <f t="shared" si="63"/>
        <v>66727400036.580383</v>
      </c>
      <c r="BB24" s="82">
        <f t="shared" si="63"/>
        <v>55018215382.435143</v>
      </c>
      <c r="BC24" s="82">
        <f t="shared" si="63"/>
        <v>73571026560.677902</v>
      </c>
      <c r="BD24" s="83">
        <f t="shared" si="63"/>
        <v>76149410237.976791</v>
      </c>
      <c r="BE24" s="81">
        <f t="shared" si="63"/>
        <v>66727400036.580383</v>
      </c>
      <c r="BF24" s="82">
        <f t="shared" si="63"/>
        <v>55018215382.435143</v>
      </c>
      <c r="BG24" s="82">
        <f t="shared" si="63"/>
        <v>79384699739.830338</v>
      </c>
      <c r="BH24" s="83">
        <f t="shared" si="63"/>
        <v>81083380439.356857</v>
      </c>
      <c r="BI24" s="10"/>
      <c r="BJ24" s="10"/>
    </row>
    <row r="25" spans="1:62" ht="14.25" customHeight="1">
      <c r="A25" s="10" t="s">
        <v>95</v>
      </c>
      <c r="B25" s="10" t="s">
        <v>167</v>
      </c>
      <c r="C25" s="10" t="s">
        <v>167</v>
      </c>
      <c r="D25" s="10" t="s">
        <v>168</v>
      </c>
      <c r="E25" s="31">
        <v>298751000</v>
      </c>
      <c r="F25" s="39">
        <v>0</v>
      </c>
      <c r="G25" s="40">
        <f t="shared" si="0"/>
        <v>0</v>
      </c>
      <c r="H25" s="10"/>
      <c r="I25" s="10"/>
      <c r="J25" s="55"/>
      <c r="K25" s="61">
        <v>31</v>
      </c>
      <c r="L25" s="61" t="s">
        <v>169</v>
      </c>
      <c r="M25" s="52">
        <v>558.98589330095331</v>
      </c>
      <c r="N25" s="52">
        <v>580.29586077241731</v>
      </c>
      <c r="O25" s="52">
        <v>615.92288852312493</v>
      </c>
      <c r="P25" s="52">
        <v>626.39377901835178</v>
      </c>
      <c r="Q25" s="52">
        <v>647.27627294410445</v>
      </c>
      <c r="R25" s="52">
        <v>719.03605798110004</v>
      </c>
      <c r="S25" s="52">
        <v>789.92102862449144</v>
      </c>
      <c r="T25" s="52">
        <v>844.10438619037848</v>
      </c>
      <c r="U25" s="52">
        <v>921.29437491312171</v>
      </c>
      <c r="V25" s="52">
        <v>958.53781353965621</v>
      </c>
      <c r="W25" s="52">
        <v>983.4088370460363</v>
      </c>
      <c r="X25" s="52">
        <v>1049.9817983765265</v>
      </c>
      <c r="Y25" s="52">
        <v>1221.9185690422535</v>
      </c>
      <c r="Z25" s="52">
        <v>1208.2670942214952</v>
      </c>
      <c r="AA25" s="52">
        <v>1021.4053718209133</v>
      </c>
      <c r="AB25" s="52">
        <v>941.12629604707047</v>
      </c>
      <c r="AC25" s="52">
        <v>992.48891234669873</v>
      </c>
      <c r="AD25" s="52">
        <v>926.64101525977276</v>
      </c>
      <c r="AE25" s="52">
        <v>901.51939281799741</v>
      </c>
      <c r="AF25" s="52">
        <v>959.54878482421736</v>
      </c>
      <c r="AG25" s="52">
        <v>1040.2615705922499</v>
      </c>
      <c r="AH25" s="52">
        <v>1174.5577779157913</v>
      </c>
      <c r="AI25" s="52">
        <v>1276.3472139999999</v>
      </c>
      <c r="AJ25" s="47">
        <v>-0.5</v>
      </c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>
        <f>AW25/AW26</f>
        <v>0</v>
      </c>
      <c r="AW25" s="84">
        <f>AW4-AS4</f>
        <v>0</v>
      </c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4.25" customHeight="1">
      <c r="A26" s="10" t="s">
        <v>95</v>
      </c>
      <c r="B26" s="10" t="s">
        <v>167</v>
      </c>
      <c r="C26" s="10" t="s">
        <v>167</v>
      </c>
      <c r="D26" s="10" t="s">
        <v>170</v>
      </c>
      <c r="E26" s="31">
        <v>738000</v>
      </c>
      <c r="F26" s="39">
        <v>0</v>
      </c>
      <c r="G26" s="40">
        <f t="shared" si="0"/>
        <v>0</v>
      </c>
      <c r="H26" s="10"/>
      <c r="I26" s="10"/>
      <c r="J26" s="55"/>
      <c r="K26" s="61">
        <v>32</v>
      </c>
      <c r="L26" s="61" t="s">
        <v>171</v>
      </c>
      <c r="M26" s="52">
        <v>221.50417169490385</v>
      </c>
      <c r="N26" s="52">
        <v>230.66173369908685</v>
      </c>
      <c r="O26" s="52">
        <v>243.97000421745355</v>
      </c>
      <c r="P26" s="52">
        <v>248.96722869213926</v>
      </c>
      <c r="Q26" s="52">
        <v>256.21679664674321</v>
      </c>
      <c r="R26" s="52">
        <v>286.19891621655631</v>
      </c>
      <c r="S26" s="52">
        <v>313.51153022104563</v>
      </c>
      <c r="T26" s="52">
        <v>333.3104745613951</v>
      </c>
      <c r="U26" s="52">
        <v>357.63888284843517</v>
      </c>
      <c r="V26" s="52">
        <v>379.33562213615448</v>
      </c>
      <c r="W26" s="52">
        <v>386.95640103333534</v>
      </c>
      <c r="X26" s="52">
        <v>396.84045915728785</v>
      </c>
      <c r="Y26" s="52">
        <v>460.12974008810414</v>
      </c>
      <c r="Z26" s="52">
        <v>473.50407793424927</v>
      </c>
      <c r="AA26" s="52">
        <v>441.3005237593199</v>
      </c>
      <c r="AB26" s="52">
        <v>417.64816215115115</v>
      </c>
      <c r="AC26" s="52">
        <v>402.75109376763999</v>
      </c>
      <c r="AD26" s="52">
        <v>347.97132412437071</v>
      </c>
      <c r="AE26" s="52">
        <v>379.95329097777773</v>
      </c>
      <c r="AF26" s="52">
        <v>378.24422033910884</v>
      </c>
      <c r="AG26" s="52">
        <v>403.00357174746324</v>
      </c>
      <c r="AH26" s="52">
        <v>391.40000137023185</v>
      </c>
      <c r="AI26" s="52">
        <v>549.66207599999996</v>
      </c>
      <c r="AJ26" s="47">
        <f>SUMPRODUCT(E165:E171,F165:F171)/SUM(E165:E171)</f>
        <v>-0.34161291998164678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84">
        <f>AW24-AS24</f>
        <v>-7284792500.3927765</v>
      </c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4.25" customHeight="1">
      <c r="A27" s="10" t="s">
        <v>95</v>
      </c>
      <c r="B27" s="10" t="s">
        <v>167</v>
      </c>
      <c r="C27" s="10" t="s">
        <v>167</v>
      </c>
      <c r="D27" s="10" t="s">
        <v>173</v>
      </c>
      <c r="E27" s="31">
        <v>832077000</v>
      </c>
      <c r="F27" s="39">
        <v>0</v>
      </c>
      <c r="G27" s="40">
        <f t="shared" si="0"/>
        <v>0</v>
      </c>
      <c r="H27" s="10"/>
      <c r="I27" s="10"/>
      <c r="J27" s="55"/>
      <c r="K27" s="61">
        <v>33</v>
      </c>
      <c r="L27" s="61" t="s">
        <v>174</v>
      </c>
      <c r="M27" s="52">
        <v>245.26657007908582</v>
      </c>
      <c r="N27" s="52">
        <v>195.41543650973469</v>
      </c>
      <c r="O27" s="52">
        <v>280.66747189037108</v>
      </c>
      <c r="P27" s="52">
        <v>240.09675914030254</v>
      </c>
      <c r="Q27" s="52">
        <v>218.08410267508972</v>
      </c>
      <c r="R27" s="52">
        <v>278.96963511049023</v>
      </c>
      <c r="S27" s="52">
        <v>319.35913915315581</v>
      </c>
      <c r="T27" s="52">
        <v>358.41379401816869</v>
      </c>
      <c r="U27" s="52">
        <v>428.98304371691574</v>
      </c>
      <c r="V27" s="52">
        <v>550.11889216625138</v>
      </c>
      <c r="W27" s="52">
        <v>698.02146907643441</v>
      </c>
      <c r="X27" s="52">
        <v>687.34737497298283</v>
      </c>
      <c r="Y27" s="52">
        <v>936.87176177473407</v>
      </c>
      <c r="Z27" s="52">
        <v>1314.5646347527256</v>
      </c>
      <c r="AA27" s="52">
        <v>1185.3033679419054</v>
      </c>
      <c r="AB27" s="52">
        <v>1253.1770309305534</v>
      </c>
      <c r="AC27" s="52">
        <v>1173.1100122937507</v>
      </c>
      <c r="AD27" s="52">
        <v>1215.93867005944</v>
      </c>
      <c r="AE27" s="52">
        <v>1234.3939854235625</v>
      </c>
      <c r="AF27" s="52">
        <v>1292.5781341740326</v>
      </c>
      <c r="AG27" s="52">
        <v>1476.1428861138888</v>
      </c>
      <c r="AH27" s="52">
        <v>1596.7007037789565</v>
      </c>
      <c r="AI27" s="52">
        <v>1832.6759280000001</v>
      </c>
      <c r="AJ27" s="47">
        <v>-0.5</v>
      </c>
      <c r="AM27" s="10"/>
      <c r="AN27" s="10"/>
      <c r="AO27" s="10"/>
      <c r="AP27" s="349" t="s">
        <v>5</v>
      </c>
      <c r="AQ27" s="350"/>
      <c r="AR27" s="351"/>
      <c r="AS27" s="352" t="s">
        <v>6</v>
      </c>
      <c r="AT27" s="350"/>
      <c r="AU27" s="351"/>
      <c r="AV27" s="353" t="s">
        <v>7</v>
      </c>
      <c r="AW27" s="350"/>
      <c r="AX27" s="351"/>
      <c r="AY27" s="10"/>
      <c r="AZ27" s="33" t="s">
        <v>175</v>
      </c>
      <c r="BA27" s="10"/>
      <c r="BB27" s="10"/>
      <c r="BC27" s="10"/>
      <c r="BD27" s="10"/>
      <c r="BE27" s="33" t="s">
        <v>175</v>
      </c>
      <c r="BF27" s="10"/>
      <c r="BG27" s="10"/>
      <c r="BH27" s="10"/>
      <c r="BI27" s="10"/>
      <c r="BJ27" s="10"/>
    </row>
    <row r="28" spans="1:62" ht="14.25" customHeight="1">
      <c r="A28" s="10" t="s">
        <v>95</v>
      </c>
      <c r="B28" s="10" t="s">
        <v>167</v>
      </c>
      <c r="C28" s="10" t="s">
        <v>167</v>
      </c>
      <c r="D28" s="10" t="s">
        <v>176</v>
      </c>
      <c r="E28" s="31">
        <v>777554000</v>
      </c>
      <c r="F28" s="39">
        <v>0</v>
      </c>
      <c r="G28" s="40">
        <f t="shared" si="0"/>
        <v>0</v>
      </c>
      <c r="H28" s="10"/>
      <c r="I28" s="10"/>
      <c r="J28" s="44" t="s">
        <v>89</v>
      </c>
      <c r="K28" s="347" t="s">
        <v>90</v>
      </c>
      <c r="L28" s="348"/>
      <c r="M28" s="52">
        <v>2425.1814735070298</v>
      </c>
      <c r="N28" s="52">
        <v>2769.1008816363014</v>
      </c>
      <c r="O28" s="52">
        <v>2862.4301300438506</v>
      </c>
      <c r="P28" s="52">
        <v>2882.3479124607302</v>
      </c>
      <c r="Q28" s="52">
        <v>3312.5808507138322</v>
      </c>
      <c r="R28" s="52">
        <v>2809.69754254587</v>
      </c>
      <c r="S28" s="52">
        <v>2850.5622662163278</v>
      </c>
      <c r="T28" s="52">
        <v>3521.3178560459223</v>
      </c>
      <c r="U28" s="52">
        <v>3778.0992047627374</v>
      </c>
      <c r="V28" s="52">
        <v>4604.4697914364642</v>
      </c>
      <c r="W28" s="52">
        <v>4608.6152868842637</v>
      </c>
      <c r="X28" s="52">
        <v>4471.1443167814978</v>
      </c>
      <c r="Y28" s="52">
        <v>3701.1549340840666</v>
      </c>
      <c r="Z28" s="52">
        <v>4003.3859734595453</v>
      </c>
      <c r="AA28" s="52">
        <v>5214.6942782709693</v>
      </c>
      <c r="AB28" s="52">
        <v>6242.8620407139706</v>
      </c>
      <c r="AC28" s="52">
        <v>6089.0945373759268</v>
      </c>
      <c r="AD28" s="52">
        <v>6637.883115441944</v>
      </c>
      <c r="AE28" s="52">
        <v>7754.3978654199982</v>
      </c>
      <c r="AF28" s="52">
        <v>8462.0915812396015</v>
      </c>
      <c r="AG28" s="52">
        <v>8550.3905057499996</v>
      </c>
      <c r="AH28" s="52">
        <v>8939.124187341009</v>
      </c>
      <c r="AI28" s="52">
        <v>8538.3882279999998</v>
      </c>
      <c r="AJ28" s="47">
        <v>0</v>
      </c>
      <c r="AM28" s="10"/>
      <c r="AN28" s="10"/>
      <c r="AO28" s="10" t="s">
        <v>9</v>
      </c>
      <c r="AP28" s="92" t="s">
        <v>177</v>
      </c>
      <c r="AQ28" s="6" t="s">
        <v>178</v>
      </c>
      <c r="AR28" s="93" t="s">
        <v>179</v>
      </c>
      <c r="AS28" s="92" t="s">
        <v>177</v>
      </c>
      <c r="AT28" s="6" t="s">
        <v>178</v>
      </c>
      <c r="AU28" s="93" t="s">
        <v>179</v>
      </c>
      <c r="AV28" s="92" t="s">
        <v>177</v>
      </c>
      <c r="AW28" s="6" t="s">
        <v>178</v>
      </c>
      <c r="AX28" s="93" t="s">
        <v>179</v>
      </c>
      <c r="AY28" s="10"/>
      <c r="AZ28" s="10" t="s">
        <v>9</v>
      </c>
      <c r="BA28" s="9" t="s">
        <v>22</v>
      </c>
      <c r="BB28" s="12" t="s">
        <v>24</v>
      </c>
      <c r="BC28" s="20" t="s">
        <v>31</v>
      </c>
      <c r="BD28" s="10"/>
      <c r="BE28" s="10" t="s">
        <v>9</v>
      </c>
      <c r="BF28" s="9" t="s">
        <v>22</v>
      </c>
      <c r="BG28" s="12" t="s">
        <v>24</v>
      </c>
      <c r="BH28" s="20" t="s">
        <v>31</v>
      </c>
      <c r="BI28" s="10"/>
      <c r="BJ28" s="10"/>
    </row>
    <row r="29" spans="1:62" ht="14.25" customHeight="1">
      <c r="A29" s="10" t="s">
        <v>95</v>
      </c>
      <c r="B29" s="10" t="s">
        <v>180</v>
      </c>
      <c r="C29" s="10" t="s">
        <v>181</v>
      </c>
      <c r="D29" s="10" t="s">
        <v>181</v>
      </c>
      <c r="E29" s="31">
        <v>75267000</v>
      </c>
      <c r="F29" s="39">
        <v>-0.5</v>
      </c>
      <c r="G29" s="40">
        <f t="shared" si="0"/>
        <v>-37633500</v>
      </c>
      <c r="H29" s="10"/>
      <c r="I29" s="10"/>
      <c r="J29" s="44" t="s">
        <v>93</v>
      </c>
      <c r="K29" s="347" t="s">
        <v>182</v>
      </c>
      <c r="L29" s="348"/>
      <c r="M29" s="52">
        <v>1204.0005589124225</v>
      </c>
      <c r="N29" s="52">
        <v>1344.1641297715535</v>
      </c>
      <c r="O29" s="52">
        <v>1644.7617374291481</v>
      </c>
      <c r="P29" s="52">
        <v>1681.1255207334939</v>
      </c>
      <c r="Q29" s="52">
        <v>1836.0921707893001</v>
      </c>
      <c r="R29" s="52">
        <v>2520.9016519472862</v>
      </c>
      <c r="S29" s="52">
        <v>2044.9544169002518</v>
      </c>
      <c r="T29" s="52">
        <v>2058.5108559912237</v>
      </c>
      <c r="U29" s="52">
        <v>2382.6006044493492</v>
      </c>
      <c r="V29" s="52">
        <v>2660.3466804136965</v>
      </c>
      <c r="W29" s="52">
        <v>2841.307500675468</v>
      </c>
      <c r="X29" s="52">
        <v>2666.5380066125254</v>
      </c>
      <c r="Y29" s="52">
        <v>2993.2448644813499</v>
      </c>
      <c r="Z29" s="52">
        <v>3141.2475437044977</v>
      </c>
      <c r="AA29" s="52">
        <v>3040.4004429955598</v>
      </c>
      <c r="AB29" s="52">
        <v>3578.7545986501063</v>
      </c>
      <c r="AC29" s="52">
        <v>3695.27338655006</v>
      </c>
      <c r="AD29" s="52">
        <v>3985.2134977661872</v>
      </c>
      <c r="AE29" s="52">
        <v>3944.9693311275637</v>
      </c>
      <c r="AF29" s="52">
        <v>4256.0447779068472</v>
      </c>
      <c r="AG29" s="52">
        <v>4309.068141987038</v>
      </c>
      <c r="AH29" s="52">
        <v>4100.9065063096878</v>
      </c>
      <c r="AI29" s="52">
        <v>4134.87644</v>
      </c>
      <c r="AJ29" s="47">
        <v>0</v>
      </c>
      <c r="AM29" s="10"/>
      <c r="AN29" s="10"/>
      <c r="AO29" s="100">
        <v>36616</v>
      </c>
      <c r="AP29" s="101">
        <v>34029.299999999996</v>
      </c>
      <c r="AQ29" s="6">
        <v>6403.2272211393256</v>
      </c>
      <c r="AR29" s="103">
        <f t="shared" ref="AR29:AR112" si="64">AP29+AQ29</f>
        <v>40432.527221139324</v>
      </c>
      <c r="AS29" s="101">
        <v>34029.299999999996</v>
      </c>
      <c r="AT29" s="6">
        <v>6403.2272211393256</v>
      </c>
      <c r="AU29" s="103">
        <f t="shared" ref="AU29:AU112" si="65">AS29+AT29</f>
        <v>40432.527221139324</v>
      </c>
      <c r="AV29" s="101">
        <v>34029.299999999996</v>
      </c>
      <c r="AW29" s="6">
        <v>6403.2272211393256</v>
      </c>
      <c r="AX29" s="103">
        <f t="shared" ref="AX29:AX112" si="66">AV29+AW29</f>
        <v>40432.527221139324</v>
      </c>
      <c r="AY29" s="105"/>
      <c r="AZ29" s="100">
        <v>36616</v>
      </c>
      <c r="BA29" s="10"/>
      <c r="BB29" s="10"/>
      <c r="BC29" s="10"/>
      <c r="BD29" s="10"/>
      <c r="BE29" s="100">
        <v>36616</v>
      </c>
      <c r="BF29" s="10"/>
      <c r="BG29" s="10"/>
      <c r="BH29" s="10"/>
      <c r="BI29" s="10"/>
      <c r="BJ29" s="10"/>
    </row>
    <row r="30" spans="1:62" ht="14.25" customHeight="1">
      <c r="A30" s="10" t="s">
        <v>95</v>
      </c>
      <c r="B30" s="10" t="s">
        <v>180</v>
      </c>
      <c r="C30" s="10" t="s">
        <v>184</v>
      </c>
      <c r="D30" s="10" t="s">
        <v>184</v>
      </c>
      <c r="E30" s="31">
        <v>48052000</v>
      </c>
      <c r="F30" s="39">
        <v>-0.5</v>
      </c>
      <c r="G30" s="40">
        <f t="shared" si="0"/>
        <v>-24026000</v>
      </c>
      <c r="H30" s="10"/>
      <c r="I30" s="10"/>
      <c r="J30" s="44" t="s">
        <v>101</v>
      </c>
      <c r="K30" s="108" t="s">
        <v>102</v>
      </c>
      <c r="L30" s="44"/>
      <c r="M30" s="52">
        <v>5740.4519571575911</v>
      </c>
      <c r="N30" s="52">
        <v>7402.5391547863219</v>
      </c>
      <c r="O30" s="52">
        <v>9219.3568276528149</v>
      </c>
      <c r="P30" s="52">
        <v>9377.3424700431842</v>
      </c>
      <c r="Q30" s="52">
        <v>7650.7179555611756</v>
      </c>
      <c r="R30" s="52">
        <v>7252.5269248929562</v>
      </c>
      <c r="S30" s="52">
        <v>8717.4919942140114</v>
      </c>
      <c r="T30" s="52">
        <v>10169.620527952618</v>
      </c>
      <c r="U30" s="52">
        <v>13655.266575740619</v>
      </c>
      <c r="V30" s="52">
        <v>15751.62385644909</v>
      </c>
      <c r="W30" s="52">
        <v>17581.290860650955</v>
      </c>
      <c r="X30" s="52">
        <v>19829.165255497541</v>
      </c>
      <c r="Y30" s="52">
        <v>22108.947992631674</v>
      </c>
      <c r="Z30" s="52">
        <v>24921.797321753409</v>
      </c>
      <c r="AA30" s="52">
        <v>22602.079696506469</v>
      </c>
      <c r="AB30" s="52">
        <v>17237.038869302713</v>
      </c>
      <c r="AC30" s="52">
        <v>16158.275544303388</v>
      </c>
      <c r="AD30" s="52">
        <v>14026.769521646233</v>
      </c>
      <c r="AE30" s="52">
        <v>13812.614421779686</v>
      </c>
      <c r="AF30" s="52">
        <v>13726.251024339175</v>
      </c>
      <c r="AG30" s="52">
        <v>14138.112338595689</v>
      </c>
      <c r="AH30" s="52">
        <v>14509.399365002906</v>
      </c>
      <c r="AI30" s="52">
        <v>15253.23893</v>
      </c>
      <c r="AJ30" s="47">
        <v>-0.3</v>
      </c>
      <c r="AM30" s="10"/>
      <c r="AN30" s="10"/>
      <c r="AO30" s="100">
        <v>36707</v>
      </c>
      <c r="AP30" s="101">
        <v>36635.500000000007</v>
      </c>
      <c r="AQ30" s="6">
        <v>7826.9813341698555</v>
      </c>
      <c r="AR30" s="103">
        <f t="shared" si="64"/>
        <v>44462.481334169861</v>
      </c>
      <c r="AS30" s="101">
        <v>36635.500000000007</v>
      </c>
      <c r="AT30" s="6">
        <v>7826.9813341698555</v>
      </c>
      <c r="AU30" s="103">
        <f t="shared" si="65"/>
        <v>44462.481334169861</v>
      </c>
      <c r="AV30" s="101">
        <v>36635.500000000007</v>
      </c>
      <c r="AW30" s="6">
        <v>7826.9813341698555</v>
      </c>
      <c r="AX30" s="103">
        <f t="shared" si="66"/>
        <v>44462.481334169861</v>
      </c>
      <c r="AY30" s="105"/>
      <c r="AZ30" s="100">
        <v>36707</v>
      </c>
      <c r="BA30" s="10"/>
      <c r="BB30" s="10"/>
      <c r="BC30" s="10"/>
      <c r="BD30" s="10"/>
      <c r="BE30" s="100">
        <v>36707</v>
      </c>
      <c r="BF30" s="10"/>
      <c r="BG30" s="10"/>
      <c r="BH30" s="10"/>
      <c r="BI30" s="10"/>
      <c r="BJ30" s="10"/>
    </row>
    <row r="31" spans="1:62" ht="14.25" customHeight="1">
      <c r="A31" s="10" t="s">
        <v>95</v>
      </c>
      <c r="B31" s="10" t="s">
        <v>180</v>
      </c>
      <c r="C31" s="10" t="s">
        <v>190</v>
      </c>
      <c r="D31" s="10" t="s">
        <v>190</v>
      </c>
      <c r="E31" s="31">
        <v>39207000</v>
      </c>
      <c r="F31" s="39">
        <v>-0.5</v>
      </c>
      <c r="G31" s="40">
        <f t="shared" si="0"/>
        <v>-19603500</v>
      </c>
      <c r="H31" s="10"/>
      <c r="I31" s="10"/>
      <c r="J31" s="44" t="s">
        <v>105</v>
      </c>
      <c r="K31" s="347" t="s">
        <v>191</v>
      </c>
      <c r="L31" s="348"/>
      <c r="M31" s="52">
        <v>12975.192014188478</v>
      </c>
      <c r="N31" s="52">
        <v>14978.148014617695</v>
      </c>
      <c r="O31" s="52">
        <v>17323.382958341765</v>
      </c>
      <c r="P31" s="52">
        <v>17955.693910968497</v>
      </c>
      <c r="Q31" s="52">
        <v>15680.109242359311</v>
      </c>
      <c r="R31" s="52">
        <v>16531.512270915187</v>
      </c>
      <c r="S31" s="52">
        <v>19818.861039872962</v>
      </c>
      <c r="T31" s="52">
        <v>22988.887081429031</v>
      </c>
      <c r="U31" s="52">
        <v>26984.520871707773</v>
      </c>
      <c r="V31" s="52">
        <v>26586.270073432926</v>
      </c>
      <c r="W31" s="52">
        <v>29348.840500805622</v>
      </c>
      <c r="X31" s="52">
        <v>32729.155435464629</v>
      </c>
      <c r="Y31" s="52">
        <v>34981.083634642899</v>
      </c>
      <c r="Z31" s="52">
        <v>37865.821197250109</v>
      </c>
      <c r="AA31" s="52">
        <v>32325.008662617925</v>
      </c>
      <c r="AB31" s="52">
        <v>33331.915978570498</v>
      </c>
      <c r="AC31" s="52">
        <v>34049.920009524896</v>
      </c>
      <c r="AD31" s="52">
        <v>33507.907069323082</v>
      </c>
      <c r="AE31" s="52">
        <v>32806.983339874285</v>
      </c>
      <c r="AF31" s="52">
        <v>32894.209304712553</v>
      </c>
      <c r="AG31" s="52">
        <v>34758.403294220581</v>
      </c>
      <c r="AH31" s="52">
        <v>34383.211802443067</v>
      </c>
      <c r="AI31" s="52">
        <v>36158.656210000001</v>
      </c>
      <c r="AJ31" s="47">
        <f>SUMPRODUCT(E213:E298,F213:F298)/SUM(E213:E298)</f>
        <v>-0.31311608042053396</v>
      </c>
      <c r="AM31" s="10"/>
      <c r="AN31" s="10"/>
      <c r="AO31" s="100">
        <v>36799</v>
      </c>
      <c r="AP31" s="101">
        <v>40086.399999999994</v>
      </c>
      <c r="AQ31" s="6">
        <v>8464.0276498293297</v>
      </c>
      <c r="AR31" s="103">
        <f t="shared" si="64"/>
        <v>48550.427649829326</v>
      </c>
      <c r="AS31" s="101">
        <v>40086.399999999994</v>
      </c>
      <c r="AT31" s="6">
        <v>8464.0276498293297</v>
      </c>
      <c r="AU31" s="103">
        <f t="shared" si="65"/>
        <v>48550.427649829326</v>
      </c>
      <c r="AV31" s="101">
        <v>40086.399999999994</v>
      </c>
      <c r="AW31" s="6">
        <v>8464.0276498293297</v>
      </c>
      <c r="AX31" s="103">
        <f t="shared" si="66"/>
        <v>48550.427649829326</v>
      </c>
      <c r="AY31" s="105"/>
      <c r="AZ31" s="100">
        <v>36799</v>
      </c>
      <c r="BA31" s="10"/>
      <c r="BB31" s="10"/>
      <c r="BC31" s="10"/>
      <c r="BD31" s="10"/>
      <c r="BE31" s="100">
        <v>36799</v>
      </c>
      <c r="BF31" s="10"/>
      <c r="BG31" s="10"/>
      <c r="BH31" s="10"/>
      <c r="BI31" s="10"/>
      <c r="BJ31" s="10"/>
    </row>
    <row r="32" spans="1:62" ht="14.25" customHeight="1">
      <c r="A32" s="10" t="s">
        <v>95</v>
      </c>
      <c r="B32" s="10" t="s">
        <v>180</v>
      </c>
      <c r="C32" s="10" t="s">
        <v>195</v>
      </c>
      <c r="D32" s="10" t="s">
        <v>196</v>
      </c>
      <c r="E32" s="31">
        <v>1865000</v>
      </c>
      <c r="F32" s="39">
        <v>-0.5</v>
      </c>
      <c r="G32" s="40">
        <f t="shared" si="0"/>
        <v>-932500</v>
      </c>
      <c r="H32" s="10"/>
      <c r="I32" s="10"/>
      <c r="J32" s="44" t="s">
        <v>109</v>
      </c>
      <c r="K32" s="108" t="s">
        <v>110</v>
      </c>
      <c r="L32" s="44"/>
      <c r="M32" s="52">
        <v>6314.4145904553216</v>
      </c>
      <c r="N32" s="52">
        <v>5984.5494293538559</v>
      </c>
      <c r="O32" s="52">
        <v>6479.4587332958326</v>
      </c>
      <c r="P32" s="52">
        <v>6549.2250465034376</v>
      </c>
      <c r="Q32" s="52">
        <v>6984.8361467978539</v>
      </c>
      <c r="R32" s="52">
        <v>7659.2133967500322</v>
      </c>
      <c r="S32" s="52">
        <v>8109.3519844197353</v>
      </c>
      <c r="T32" s="52">
        <v>8682.0194600999293</v>
      </c>
      <c r="U32" s="52">
        <v>9913.8997268088169</v>
      </c>
      <c r="V32" s="52">
        <v>11497.694309243931</v>
      </c>
      <c r="W32" s="52">
        <v>12266.759487231533</v>
      </c>
      <c r="X32" s="52">
        <v>12493.274789283336</v>
      </c>
      <c r="Y32" s="52">
        <v>13421.859241994605</v>
      </c>
      <c r="Z32" s="52">
        <v>14352.299285443356</v>
      </c>
      <c r="AA32" s="52">
        <v>12488.789301817313</v>
      </c>
      <c r="AB32" s="52">
        <v>12340.908785392045</v>
      </c>
      <c r="AC32" s="52">
        <v>12366.075855320825</v>
      </c>
      <c r="AD32" s="52">
        <v>11917.258892858641</v>
      </c>
      <c r="AE32" s="52">
        <v>11704.81275632502</v>
      </c>
      <c r="AF32" s="52">
        <v>11782.450038871184</v>
      </c>
      <c r="AG32" s="52">
        <v>11854.702080056173</v>
      </c>
      <c r="AH32" s="52">
        <v>12955.221949986008</v>
      </c>
      <c r="AI32" s="52">
        <v>13996.038339999999</v>
      </c>
      <c r="AJ32" s="47">
        <f>SUMPRODUCT(E299:E315,F299:F315)/SUM(E299:E315)</f>
        <v>-0.66910034294326015</v>
      </c>
      <c r="AM32" s="10"/>
      <c r="AN32" s="10"/>
      <c r="AO32" s="100">
        <v>36891</v>
      </c>
      <c r="AP32" s="101">
        <v>37071.4</v>
      </c>
      <c r="AQ32" s="6">
        <v>8853.80571742557</v>
      </c>
      <c r="AR32" s="103">
        <f t="shared" si="64"/>
        <v>45925.205717425575</v>
      </c>
      <c r="AS32" s="101">
        <v>37071.4</v>
      </c>
      <c r="AT32" s="6">
        <v>8853.80571742557</v>
      </c>
      <c r="AU32" s="103">
        <f t="shared" si="65"/>
        <v>45925.205717425575</v>
      </c>
      <c r="AV32" s="101">
        <v>37071.4</v>
      </c>
      <c r="AW32" s="6">
        <v>8853.80571742557</v>
      </c>
      <c r="AX32" s="103">
        <f t="shared" si="66"/>
        <v>45925.205717425575</v>
      </c>
      <c r="AY32" s="122">
        <f t="shared" ref="AY32:AY112" si="67">SUM(AQ29:AQ32)/SUM(AP29:AP32)</f>
        <v>0.21341825893039415</v>
      </c>
      <c r="AZ32" s="100">
        <v>36891</v>
      </c>
      <c r="BA32" s="10"/>
      <c r="BB32" s="10"/>
      <c r="BC32" s="10"/>
      <c r="BD32" s="10"/>
      <c r="BE32" s="100">
        <v>36891</v>
      </c>
      <c r="BF32" s="10"/>
      <c r="BG32" s="10"/>
      <c r="BH32" s="10"/>
      <c r="BI32" s="10"/>
      <c r="BJ32" s="10"/>
    </row>
    <row r="33" spans="1:62" ht="14.25" customHeight="1">
      <c r="A33" s="10" t="s">
        <v>95</v>
      </c>
      <c r="B33" s="10" t="s">
        <v>180</v>
      </c>
      <c r="C33" s="10" t="s">
        <v>195</v>
      </c>
      <c r="D33" s="10" t="s">
        <v>198</v>
      </c>
      <c r="E33" s="31">
        <v>166707000</v>
      </c>
      <c r="F33" s="39">
        <v>-0.3</v>
      </c>
      <c r="G33" s="40">
        <f t="shared" si="0"/>
        <v>-50012100</v>
      </c>
      <c r="H33" s="10"/>
      <c r="I33" s="10"/>
      <c r="J33" s="44" t="s">
        <v>114</v>
      </c>
      <c r="K33" s="347" t="s">
        <v>115</v>
      </c>
      <c r="L33" s="348"/>
      <c r="M33" s="52">
        <v>2540.9744895905451</v>
      </c>
      <c r="N33" s="52">
        <v>3407.6598735526245</v>
      </c>
      <c r="O33" s="52">
        <v>4079.6829806729047</v>
      </c>
      <c r="P33" s="52">
        <v>4419.8081383649724</v>
      </c>
      <c r="Q33" s="52">
        <v>4346.8541578692129</v>
      </c>
      <c r="R33" s="52">
        <v>5244.9434443089203</v>
      </c>
      <c r="S33" s="52">
        <v>6090.9411258252758</v>
      </c>
      <c r="T33" s="52">
        <v>7074.1229204745423</v>
      </c>
      <c r="U33" s="52">
        <v>8134.5545052598554</v>
      </c>
      <c r="V33" s="52">
        <v>8608.2961396787905</v>
      </c>
      <c r="W33" s="52">
        <v>9530.4417826933259</v>
      </c>
      <c r="X33" s="52">
        <v>10178.137427749434</v>
      </c>
      <c r="Y33" s="52">
        <v>11397.477392595756</v>
      </c>
      <c r="Z33" s="52">
        <v>11762.612530159071</v>
      </c>
      <c r="AA33" s="52">
        <v>11843.338633796873</v>
      </c>
      <c r="AB33" s="52">
        <v>12263.100963785519</v>
      </c>
      <c r="AC33" s="52">
        <v>13027.638962567913</v>
      </c>
      <c r="AD33" s="52">
        <v>13413.346963809701</v>
      </c>
      <c r="AE33" s="52">
        <v>15547.431226402523</v>
      </c>
      <c r="AF33" s="52">
        <v>15783.310508591449</v>
      </c>
      <c r="AG33" s="52">
        <v>16751.916009080989</v>
      </c>
      <c r="AH33" s="52">
        <v>18157.068892954543</v>
      </c>
      <c r="AI33" s="52">
        <v>19946.247790000001</v>
      </c>
      <c r="AJ33" s="47">
        <v>-1</v>
      </c>
      <c r="AM33" s="10"/>
      <c r="AN33" s="10"/>
      <c r="AO33" s="100">
        <v>36981</v>
      </c>
      <c r="AP33" s="101">
        <v>37118.9</v>
      </c>
      <c r="AQ33" s="6">
        <v>6903.4845034055388</v>
      </c>
      <c r="AR33" s="103">
        <f t="shared" si="64"/>
        <v>44022.384503405541</v>
      </c>
      <c r="AS33" s="101">
        <v>37118.9</v>
      </c>
      <c r="AT33" s="6">
        <v>6903.4845034055388</v>
      </c>
      <c r="AU33" s="103">
        <f t="shared" si="65"/>
        <v>44022.384503405541</v>
      </c>
      <c r="AV33" s="101">
        <v>37118.9</v>
      </c>
      <c r="AW33" s="6">
        <v>6903.4845034055388</v>
      </c>
      <c r="AX33" s="103">
        <f t="shared" si="66"/>
        <v>44022.384503405541</v>
      </c>
      <c r="AY33" s="122">
        <f t="shared" si="67"/>
        <v>0.21236387253535696</v>
      </c>
      <c r="AZ33" s="100">
        <v>36981</v>
      </c>
      <c r="BA33" s="105">
        <f t="shared" ref="BA33:BA112" si="68">AR33/AR29-1</f>
        <v>8.8786369019973943E-2</v>
      </c>
      <c r="BB33" s="105">
        <f t="shared" ref="BB33:BB112" si="69">AU33/AU29-1</f>
        <v>8.8786369019973943E-2</v>
      </c>
      <c r="BC33" s="105">
        <f t="shared" ref="BC33:BC112" si="70">AX33/AX29-1</f>
        <v>8.8786369019973943E-2</v>
      </c>
      <c r="BD33" s="10"/>
      <c r="BE33" s="100">
        <v>36981</v>
      </c>
      <c r="BF33" s="105"/>
      <c r="BG33" s="105"/>
      <c r="BH33" s="105"/>
      <c r="BI33" s="10"/>
      <c r="BJ33" s="10"/>
    </row>
    <row r="34" spans="1:62" ht="14.25" customHeight="1">
      <c r="A34" s="10" t="s">
        <v>95</v>
      </c>
      <c r="B34" s="10" t="s">
        <v>180</v>
      </c>
      <c r="C34" s="10" t="s">
        <v>195</v>
      </c>
      <c r="D34" s="10" t="s">
        <v>199</v>
      </c>
      <c r="E34" s="31">
        <v>107000</v>
      </c>
      <c r="F34" s="39">
        <v>-0.5</v>
      </c>
      <c r="G34" s="40">
        <f t="shared" si="0"/>
        <v>-53500</v>
      </c>
      <c r="H34" s="10"/>
      <c r="I34" s="10"/>
      <c r="J34" s="44" t="s">
        <v>119</v>
      </c>
      <c r="K34" s="108" t="s">
        <v>120</v>
      </c>
      <c r="L34" s="44"/>
      <c r="M34" s="52">
        <v>3756.1673731469527</v>
      </c>
      <c r="N34" s="52">
        <v>4432.1530103702771</v>
      </c>
      <c r="O34" s="52">
        <v>4954.8996420589265</v>
      </c>
      <c r="P34" s="52">
        <v>5414.6807202421569</v>
      </c>
      <c r="Q34" s="52">
        <v>5862.101497330711</v>
      </c>
      <c r="R34" s="52">
        <v>7115.9423516300158</v>
      </c>
      <c r="S34" s="52">
        <v>8343.4523345345588</v>
      </c>
      <c r="T34" s="52">
        <v>9294.9913893623871</v>
      </c>
      <c r="U34" s="52">
        <v>9768.024740644918</v>
      </c>
      <c r="V34" s="52">
        <v>10487.74262656234</v>
      </c>
      <c r="W34" s="52">
        <v>11280.617056762347</v>
      </c>
      <c r="X34" s="52">
        <v>12128.284966222416</v>
      </c>
      <c r="Y34" s="52">
        <v>13013.786405567742</v>
      </c>
      <c r="Z34" s="52">
        <v>14573.158235283827</v>
      </c>
      <c r="AA34" s="52">
        <v>14207.292952112253</v>
      </c>
      <c r="AB34" s="52">
        <v>14403.629269653802</v>
      </c>
      <c r="AC34" s="52">
        <v>13963.916840294029</v>
      </c>
      <c r="AD34" s="52">
        <v>13663.390810296911</v>
      </c>
      <c r="AE34" s="52">
        <v>13250.244285832987</v>
      </c>
      <c r="AF34" s="52">
        <v>12706.63955747768</v>
      </c>
      <c r="AG34" s="52">
        <v>13146.409164110099</v>
      </c>
      <c r="AH34" s="52">
        <v>13595.050155976614</v>
      </c>
      <c r="AI34" s="52">
        <v>14514.891535999999</v>
      </c>
      <c r="AJ34" s="47">
        <f>SUMPRODUCT(E324:E345,F324:F345)/SUM(E324:E345)</f>
        <v>-4.1528142175114642E-2</v>
      </c>
      <c r="AM34" s="10"/>
      <c r="AN34" s="10"/>
      <c r="AO34" s="100">
        <v>37072</v>
      </c>
      <c r="AP34" s="101">
        <v>40250.300000000003</v>
      </c>
      <c r="AQ34" s="6">
        <v>8533.3101765125939</v>
      </c>
      <c r="AR34" s="103">
        <f t="shared" si="64"/>
        <v>48783.610176512593</v>
      </c>
      <c r="AS34" s="101">
        <v>40250.300000000003</v>
      </c>
      <c r="AT34" s="6">
        <v>8533.3101765125939</v>
      </c>
      <c r="AU34" s="103">
        <f t="shared" si="65"/>
        <v>48783.610176512593</v>
      </c>
      <c r="AV34" s="101">
        <v>40250.300000000003</v>
      </c>
      <c r="AW34" s="6">
        <v>8533.3101765125939</v>
      </c>
      <c r="AX34" s="103">
        <f t="shared" si="66"/>
        <v>48783.610176512593</v>
      </c>
      <c r="AY34" s="122">
        <f t="shared" si="67"/>
        <v>0.21196702224965883</v>
      </c>
      <c r="AZ34" s="100">
        <v>37072</v>
      </c>
      <c r="BA34" s="105">
        <f t="shared" si="68"/>
        <v>9.718595797355789E-2</v>
      </c>
      <c r="BB34" s="105">
        <f t="shared" si="69"/>
        <v>9.718595797355789E-2</v>
      </c>
      <c r="BC34" s="105">
        <f t="shared" si="70"/>
        <v>9.718595797355789E-2</v>
      </c>
      <c r="BD34" s="10"/>
      <c r="BE34" s="100">
        <v>37072</v>
      </c>
      <c r="BF34" s="105"/>
      <c r="BG34" s="105"/>
      <c r="BH34" s="105"/>
      <c r="BI34" s="10"/>
      <c r="BJ34" s="10"/>
    </row>
    <row r="35" spans="1:62" ht="14.25" customHeight="1">
      <c r="A35" s="10" t="s">
        <v>95</v>
      </c>
      <c r="B35" s="10" t="s">
        <v>180</v>
      </c>
      <c r="C35" s="10" t="s">
        <v>195</v>
      </c>
      <c r="D35" s="10" t="s">
        <v>200</v>
      </c>
      <c r="E35" s="31">
        <v>13494000</v>
      </c>
      <c r="F35" s="39">
        <v>-0.5</v>
      </c>
      <c r="G35" s="40">
        <f t="shared" si="0"/>
        <v>-6747000</v>
      </c>
      <c r="H35" s="10"/>
      <c r="I35" s="10"/>
      <c r="J35" s="44" t="s">
        <v>123</v>
      </c>
      <c r="K35" s="347" t="s">
        <v>124</v>
      </c>
      <c r="L35" s="348"/>
      <c r="M35" s="52">
        <v>4004.5051547966714</v>
      </c>
      <c r="N35" s="52">
        <v>5241.5963571517887</v>
      </c>
      <c r="O35" s="52">
        <v>4847.9560885334895</v>
      </c>
      <c r="P35" s="52">
        <v>5258.4188195912329</v>
      </c>
      <c r="Q35" s="52">
        <v>7002.1944651579934</v>
      </c>
      <c r="R35" s="52">
        <v>6549.6977520729743</v>
      </c>
      <c r="S35" s="52">
        <v>7670.4606135004424</v>
      </c>
      <c r="T35" s="52">
        <v>8728.3286133461588</v>
      </c>
      <c r="U35" s="52">
        <v>10622.551327828143</v>
      </c>
      <c r="V35" s="52">
        <v>11110.791730440647</v>
      </c>
      <c r="W35" s="52">
        <v>13610.32535911941</v>
      </c>
      <c r="X35" s="52">
        <v>14429.227370221754</v>
      </c>
      <c r="Y35" s="52">
        <v>16697.31819784889</v>
      </c>
      <c r="Z35" s="52">
        <v>18312.243432295756</v>
      </c>
      <c r="AA35" s="52">
        <v>18465.282658909484</v>
      </c>
      <c r="AB35" s="52">
        <v>19244.890096628023</v>
      </c>
      <c r="AC35" s="52">
        <v>20541.418040433295</v>
      </c>
      <c r="AD35" s="52">
        <v>18767.005724078768</v>
      </c>
      <c r="AE35" s="52">
        <v>17706.775960166564</v>
      </c>
      <c r="AF35" s="52">
        <v>18185.149709613735</v>
      </c>
      <c r="AG35" s="52">
        <v>17994.579785865757</v>
      </c>
      <c r="AH35" s="52">
        <v>18459.561556743789</v>
      </c>
      <c r="AI35" s="52">
        <v>19152.655332999999</v>
      </c>
      <c r="AJ35" s="47">
        <v>-0.1</v>
      </c>
      <c r="AM35" s="10"/>
      <c r="AN35" s="10"/>
      <c r="AO35" s="100">
        <v>37164</v>
      </c>
      <c r="AP35" s="101">
        <v>42444.800000000003</v>
      </c>
      <c r="AQ35" s="6">
        <v>9195.0292397041594</v>
      </c>
      <c r="AR35" s="103">
        <f t="shared" si="64"/>
        <v>51639.829239704166</v>
      </c>
      <c r="AS35" s="101">
        <v>42444.800000000003</v>
      </c>
      <c r="AT35" s="6">
        <v>9195.0292397041594</v>
      </c>
      <c r="AU35" s="103">
        <f t="shared" si="65"/>
        <v>51639.829239704166</v>
      </c>
      <c r="AV35" s="101">
        <v>42444.800000000003</v>
      </c>
      <c r="AW35" s="6">
        <v>9195.0292397041594</v>
      </c>
      <c r="AX35" s="103">
        <f t="shared" si="66"/>
        <v>51639.829239704166</v>
      </c>
      <c r="AY35" s="122">
        <f t="shared" si="67"/>
        <v>0.21344006285510228</v>
      </c>
      <c r="AZ35" s="100">
        <v>37164</v>
      </c>
      <c r="BA35" s="105">
        <f t="shared" si="68"/>
        <v>6.3632839903227989E-2</v>
      </c>
      <c r="BB35" s="105">
        <f t="shared" si="69"/>
        <v>6.3632839903227989E-2</v>
      </c>
      <c r="BC35" s="105">
        <f t="shared" si="70"/>
        <v>6.3632839903227989E-2</v>
      </c>
      <c r="BD35" s="10"/>
      <c r="BE35" s="100">
        <v>37164</v>
      </c>
      <c r="BF35" s="105"/>
      <c r="BG35" s="105"/>
      <c r="BH35" s="105"/>
      <c r="BI35" s="10"/>
      <c r="BJ35" s="10"/>
    </row>
    <row r="36" spans="1:62" ht="14.25" customHeight="1">
      <c r="A36" s="10" t="s">
        <v>95</v>
      </c>
      <c r="B36" s="10" t="s">
        <v>180</v>
      </c>
      <c r="C36" s="10" t="s">
        <v>195</v>
      </c>
      <c r="D36" s="10" t="s">
        <v>201</v>
      </c>
      <c r="E36" s="31">
        <v>19597000</v>
      </c>
      <c r="F36" s="39">
        <v>-0.5</v>
      </c>
      <c r="G36" s="40">
        <f t="shared" si="0"/>
        <v>-9798500</v>
      </c>
      <c r="H36" s="10"/>
      <c r="I36" s="10"/>
      <c r="J36" s="44" t="s">
        <v>128</v>
      </c>
      <c r="K36" s="108" t="s">
        <v>129</v>
      </c>
      <c r="L36" s="44"/>
      <c r="M36" s="52">
        <v>9995.2712325471457</v>
      </c>
      <c r="N36" s="52">
        <v>10643.484984250052</v>
      </c>
      <c r="O36" s="52">
        <v>11261.274430867315</v>
      </c>
      <c r="P36" s="52">
        <v>12257.965222776291</v>
      </c>
      <c r="Q36" s="52">
        <v>13243.26244238085</v>
      </c>
      <c r="R36" s="52">
        <v>13866.080655049243</v>
      </c>
      <c r="S36" s="52">
        <v>14580.428987572117</v>
      </c>
      <c r="T36" s="52">
        <v>15631.941581525509</v>
      </c>
      <c r="U36" s="52">
        <v>16893.05546079914</v>
      </c>
      <c r="V36" s="52">
        <v>18144.125760746298</v>
      </c>
      <c r="W36" s="52">
        <v>19585.039337253867</v>
      </c>
      <c r="X36" s="52">
        <v>21388.921572768304</v>
      </c>
      <c r="Y36" s="52">
        <v>25466.62008937493</v>
      </c>
      <c r="Z36" s="52">
        <v>26164.436954316687</v>
      </c>
      <c r="AA36" s="52">
        <v>26261.723135724864</v>
      </c>
      <c r="AB36" s="52">
        <v>25937.401835844787</v>
      </c>
      <c r="AC36" s="52">
        <v>27130.602162247102</v>
      </c>
      <c r="AD36" s="52">
        <v>27268.43001666624</v>
      </c>
      <c r="AE36" s="52">
        <v>27153.706529289324</v>
      </c>
      <c r="AF36" s="52">
        <v>27535.539709805445</v>
      </c>
      <c r="AG36" s="52">
        <v>27929.05599675938</v>
      </c>
      <c r="AH36" s="52">
        <v>28237.886091866265</v>
      </c>
      <c r="AI36" s="52">
        <v>28719.414083</v>
      </c>
      <c r="AJ36" s="47">
        <v>-0.7</v>
      </c>
      <c r="AM36" s="10"/>
      <c r="AN36" s="10"/>
      <c r="AO36" s="100">
        <v>37256</v>
      </c>
      <c r="AP36" s="101">
        <v>39543.800000000003</v>
      </c>
      <c r="AQ36" s="6">
        <v>9364.6461711001175</v>
      </c>
      <c r="AR36" s="103">
        <f t="shared" si="64"/>
        <v>48908.44617110012</v>
      </c>
      <c r="AS36" s="101">
        <v>39543.800000000003</v>
      </c>
      <c r="AT36" s="6">
        <v>9364.6461711001175</v>
      </c>
      <c r="AU36" s="103">
        <f t="shared" si="65"/>
        <v>48908.44617110012</v>
      </c>
      <c r="AV36" s="101">
        <v>39543.800000000003</v>
      </c>
      <c r="AW36" s="6">
        <v>9364.6461711001175</v>
      </c>
      <c r="AX36" s="103">
        <f t="shared" si="66"/>
        <v>48908.44617110012</v>
      </c>
      <c r="AY36" s="122">
        <f t="shared" si="67"/>
        <v>0.21333420824535987</v>
      </c>
      <c r="AZ36" s="100">
        <v>37256</v>
      </c>
      <c r="BA36" s="105">
        <f t="shared" si="68"/>
        <v>6.4958673718964022E-2</v>
      </c>
      <c r="BB36" s="105">
        <f t="shared" si="69"/>
        <v>6.4958673718964022E-2</v>
      </c>
      <c r="BC36" s="105">
        <f t="shared" si="70"/>
        <v>6.4958673718964022E-2</v>
      </c>
      <c r="BD36" s="10"/>
      <c r="BE36" s="100">
        <v>37256</v>
      </c>
      <c r="BF36" s="105">
        <f t="shared" ref="BF36:BF112" si="71">SUM(AR33:AR36)/SUM(AR29:AR32)-1</f>
        <v>7.7959403045428255E-2</v>
      </c>
      <c r="BG36" s="105">
        <f t="shared" ref="BG36:BG112" si="72">SUM(AU33:AU36)/SUM(AU29:AU32)-1</f>
        <v>7.7959403045428255E-2</v>
      </c>
      <c r="BH36" s="105">
        <f t="shared" ref="BH36:BH112" si="73">SUM(AX33:AX36)/SUM(AX29:AX32)-1</f>
        <v>7.7959403045428255E-2</v>
      </c>
      <c r="BI36" s="10"/>
      <c r="BJ36" s="10"/>
    </row>
    <row r="37" spans="1:62" ht="14.25" customHeight="1">
      <c r="A37" s="10" t="s">
        <v>95</v>
      </c>
      <c r="B37" s="10" t="s">
        <v>180</v>
      </c>
      <c r="C37" s="10" t="s">
        <v>195</v>
      </c>
      <c r="D37" s="10" t="s">
        <v>202</v>
      </c>
      <c r="E37" s="31">
        <v>45123000</v>
      </c>
      <c r="F37" s="39">
        <v>-0.5</v>
      </c>
      <c r="G37" s="40">
        <f t="shared" si="0"/>
        <v>-22561500</v>
      </c>
      <c r="H37" s="10"/>
      <c r="I37" s="10"/>
      <c r="J37" s="44" t="s">
        <v>132</v>
      </c>
      <c r="K37" s="108" t="s">
        <v>133</v>
      </c>
      <c r="L37" s="44"/>
      <c r="M37" s="52">
        <v>2931.1286093346685</v>
      </c>
      <c r="N37" s="52">
        <v>3437.8576424061498</v>
      </c>
      <c r="O37" s="52">
        <v>4405.5603095163397</v>
      </c>
      <c r="P37" s="52">
        <v>4757.6322430900273</v>
      </c>
      <c r="Q37" s="52">
        <v>4647.5848253613603</v>
      </c>
      <c r="R37" s="52">
        <v>5126.8933225293968</v>
      </c>
      <c r="S37" s="52">
        <v>5906.6889566512145</v>
      </c>
      <c r="T37" s="52">
        <v>7248.8482077868885</v>
      </c>
      <c r="U37" s="52">
        <v>8747.2568249365868</v>
      </c>
      <c r="V37" s="52">
        <v>9453.7368823463821</v>
      </c>
      <c r="W37" s="52">
        <v>11550.284719232792</v>
      </c>
      <c r="X37" s="52">
        <v>14516.886432076994</v>
      </c>
      <c r="Y37" s="52">
        <v>17960.038411419144</v>
      </c>
      <c r="Z37" s="52">
        <v>19919.479140651412</v>
      </c>
      <c r="AA37" s="52">
        <v>18371.847786157479</v>
      </c>
      <c r="AB37" s="52">
        <v>17913.901677608257</v>
      </c>
      <c r="AC37" s="52">
        <v>17905.347063120087</v>
      </c>
      <c r="AD37" s="52">
        <v>17529.95708062455</v>
      </c>
      <c r="AE37" s="52">
        <v>17478.951665823595</v>
      </c>
      <c r="AF37" s="52">
        <v>17712.678912769421</v>
      </c>
      <c r="AG37" s="52">
        <v>17490.211385806619</v>
      </c>
      <c r="AH37" s="52">
        <v>17549.345528037396</v>
      </c>
      <c r="AI37" s="52">
        <v>18030.514036</v>
      </c>
      <c r="AJ37" s="47">
        <f>SUMPRODUCT(E356:E374,F356:F374)/SUM(E356:E374)</f>
        <v>-0.31677438905694238</v>
      </c>
      <c r="AM37" s="10"/>
      <c r="AN37" s="10"/>
      <c r="AO37" s="100">
        <v>37346</v>
      </c>
      <c r="AP37" s="101">
        <v>40432.299999999996</v>
      </c>
      <c r="AQ37" s="6">
        <v>8182.2212014280867</v>
      </c>
      <c r="AR37" s="103">
        <f t="shared" si="64"/>
        <v>48614.521201428084</v>
      </c>
      <c r="AS37" s="101">
        <v>40432.299999999996</v>
      </c>
      <c r="AT37" s="6">
        <v>8182.2212014280867</v>
      </c>
      <c r="AU37" s="103">
        <f t="shared" si="65"/>
        <v>48614.521201428084</v>
      </c>
      <c r="AV37" s="101">
        <v>40432.299999999996</v>
      </c>
      <c r="AW37" s="6">
        <v>8182.2212014280867</v>
      </c>
      <c r="AX37" s="103">
        <f t="shared" si="66"/>
        <v>48614.521201428084</v>
      </c>
      <c r="AY37" s="122">
        <f t="shared" si="67"/>
        <v>0.21684973608570512</v>
      </c>
      <c r="AZ37" s="100">
        <v>37346</v>
      </c>
      <c r="BA37" s="105">
        <f t="shared" si="68"/>
        <v>0.10431367473216491</v>
      </c>
      <c r="BB37" s="105">
        <f t="shared" si="69"/>
        <v>0.10431367473216491</v>
      </c>
      <c r="BC37" s="105">
        <f t="shared" si="70"/>
        <v>0.10431367473216491</v>
      </c>
      <c r="BD37" s="10"/>
      <c r="BE37" s="100">
        <v>37346</v>
      </c>
      <c r="BF37" s="105">
        <f t="shared" si="71"/>
        <v>8.1907885303359462E-2</v>
      </c>
      <c r="BG37" s="105">
        <f t="shared" si="72"/>
        <v>8.1907885303359462E-2</v>
      </c>
      <c r="BH37" s="105">
        <f t="shared" si="73"/>
        <v>8.1907885303359462E-2</v>
      </c>
      <c r="BI37" s="10"/>
      <c r="BJ37" s="10"/>
    </row>
    <row r="38" spans="1:62" ht="14.25" customHeight="1">
      <c r="A38" s="10" t="s">
        <v>95</v>
      </c>
      <c r="B38" s="10" t="s">
        <v>180</v>
      </c>
      <c r="C38" s="10" t="s">
        <v>195</v>
      </c>
      <c r="D38" s="10" t="s">
        <v>203</v>
      </c>
      <c r="E38" s="31">
        <v>14529000</v>
      </c>
      <c r="F38" s="39">
        <v>-0.5</v>
      </c>
      <c r="G38" s="40">
        <f t="shared" si="0"/>
        <v>-7264500</v>
      </c>
      <c r="H38" s="10"/>
      <c r="I38" s="10"/>
      <c r="J38" s="44" t="s">
        <v>136</v>
      </c>
      <c r="K38" s="347" t="s">
        <v>204</v>
      </c>
      <c r="L38" s="348"/>
      <c r="M38" s="52">
        <v>1056.8472923027177</v>
      </c>
      <c r="N38" s="52">
        <v>1038.6415197966332</v>
      </c>
      <c r="O38" s="52">
        <v>1250.1184826227254</v>
      </c>
      <c r="P38" s="52">
        <v>1375.0929310840306</v>
      </c>
      <c r="Q38" s="52">
        <v>1460.2704485237812</v>
      </c>
      <c r="R38" s="52">
        <v>1621.0981453294735</v>
      </c>
      <c r="S38" s="52">
        <v>1801.5546264169918</v>
      </c>
      <c r="T38" s="52">
        <v>2235.3225012783068</v>
      </c>
      <c r="U38" s="52">
        <v>2718.3080810831884</v>
      </c>
      <c r="V38" s="52">
        <v>3128.1397521777762</v>
      </c>
      <c r="W38" s="52">
        <v>3590.5524172812957</v>
      </c>
      <c r="X38" s="52">
        <v>4043.8456875017137</v>
      </c>
      <c r="Y38" s="52">
        <v>4794.6772300492112</v>
      </c>
      <c r="Z38" s="52">
        <v>5274.1733022197877</v>
      </c>
      <c r="AA38" s="52">
        <v>5445.2878129261871</v>
      </c>
      <c r="AB38" s="52">
        <v>5448.5457642108868</v>
      </c>
      <c r="AC38" s="52">
        <v>5476.4819925910069</v>
      </c>
      <c r="AD38" s="52">
        <v>5632.6087711611071</v>
      </c>
      <c r="AE38" s="52">
        <v>5778.8589524189192</v>
      </c>
      <c r="AF38" s="52">
        <v>5854.7400537123585</v>
      </c>
      <c r="AG38" s="52">
        <v>6153.7661182490383</v>
      </c>
      <c r="AH38" s="52">
        <v>6747.0963197893025</v>
      </c>
      <c r="AI38" s="52">
        <v>7446.9398250000004</v>
      </c>
      <c r="AJ38" s="47">
        <f>SUMPRODUCT(E375:E405,F375:F405)/SUM(E375:E405)</f>
        <v>-0.52590958588272396</v>
      </c>
      <c r="AK38" s="10"/>
      <c r="AL38" s="10"/>
      <c r="AM38" s="10"/>
      <c r="AN38" s="10"/>
      <c r="AO38" s="100">
        <v>37437</v>
      </c>
      <c r="AP38" s="101">
        <v>42932.4</v>
      </c>
      <c r="AQ38" s="6">
        <v>9557.3706466897838</v>
      </c>
      <c r="AR38" s="103">
        <f t="shared" si="64"/>
        <v>52489.770646689787</v>
      </c>
      <c r="AS38" s="101">
        <v>42932.4</v>
      </c>
      <c r="AT38" s="6">
        <v>9557.3706466897838</v>
      </c>
      <c r="AU38" s="103">
        <f t="shared" si="65"/>
        <v>52489.770646689787</v>
      </c>
      <c r="AV38" s="101">
        <v>42932.4</v>
      </c>
      <c r="AW38" s="6">
        <v>9557.3706466897838</v>
      </c>
      <c r="AX38" s="103">
        <f t="shared" si="66"/>
        <v>52489.770646689787</v>
      </c>
      <c r="AY38" s="122">
        <f t="shared" si="67"/>
        <v>0.2195255084653415</v>
      </c>
      <c r="AZ38" s="100">
        <v>37437</v>
      </c>
      <c r="BA38" s="105">
        <f t="shared" si="68"/>
        <v>7.5971426812556198E-2</v>
      </c>
      <c r="BB38" s="105">
        <f t="shared" si="69"/>
        <v>7.5971426812556198E-2</v>
      </c>
      <c r="BC38" s="105">
        <f t="shared" si="70"/>
        <v>7.5971426812556198E-2</v>
      </c>
      <c r="BD38" s="10"/>
      <c r="BE38" s="100">
        <v>37437</v>
      </c>
      <c r="BF38" s="105">
        <f t="shared" si="71"/>
        <v>7.6734377854347446E-2</v>
      </c>
      <c r="BG38" s="105">
        <f t="shared" si="72"/>
        <v>7.6734377854347446E-2</v>
      </c>
      <c r="BH38" s="105">
        <f t="shared" si="73"/>
        <v>7.6734377854347446E-2</v>
      </c>
      <c r="BI38" s="10"/>
      <c r="BJ38" s="10"/>
    </row>
    <row r="39" spans="1:62" ht="14.25" customHeight="1">
      <c r="A39" s="10" t="s">
        <v>95</v>
      </c>
      <c r="B39" s="10" t="s">
        <v>205</v>
      </c>
      <c r="C39" s="10" t="s">
        <v>206</v>
      </c>
      <c r="D39" s="10" t="s">
        <v>207</v>
      </c>
      <c r="E39" s="31">
        <v>4702000</v>
      </c>
      <c r="F39" s="39">
        <v>-0.7</v>
      </c>
      <c r="G39" s="40">
        <f t="shared" si="0"/>
        <v>-3291400</v>
      </c>
      <c r="H39" s="10"/>
      <c r="I39" s="10"/>
      <c r="J39" s="44" t="s">
        <v>141</v>
      </c>
      <c r="K39" s="347" t="s">
        <v>208</v>
      </c>
      <c r="L39" s="348"/>
      <c r="M39" s="52">
        <v>7535.0396174340194</v>
      </c>
      <c r="N39" s="52">
        <v>8738.6687750878173</v>
      </c>
      <c r="O39" s="52">
        <v>10098.121005498759</v>
      </c>
      <c r="P39" s="52">
        <v>12270.647861843787</v>
      </c>
      <c r="Q39" s="52">
        <v>12882.456586123782</v>
      </c>
      <c r="R39" s="52">
        <v>13174.278850311362</v>
      </c>
      <c r="S39" s="52">
        <v>12247.122528038271</v>
      </c>
      <c r="T39" s="52">
        <v>12231.976677535427</v>
      </c>
      <c r="U39" s="52">
        <v>12669.028785522463</v>
      </c>
      <c r="V39" s="52">
        <v>13557.174897468445</v>
      </c>
      <c r="W39" s="52">
        <v>13405.046026541204</v>
      </c>
      <c r="X39" s="52">
        <v>14430.323827307495</v>
      </c>
      <c r="Y39" s="52">
        <v>15840.091230713384</v>
      </c>
      <c r="Z39" s="52">
        <v>16297.528605273685</v>
      </c>
      <c r="AA39" s="52">
        <v>17501.197609871819</v>
      </c>
      <c r="AB39" s="52">
        <v>17286.879124151448</v>
      </c>
      <c r="AC39" s="52">
        <v>16550.384219885811</v>
      </c>
      <c r="AD39" s="52">
        <v>16106.789412605389</v>
      </c>
      <c r="AE39" s="52">
        <v>15271.154495389999</v>
      </c>
      <c r="AF39" s="52">
        <v>15395.766705779797</v>
      </c>
      <c r="AG39" s="52">
        <v>15618.424413459999</v>
      </c>
      <c r="AH39" s="52">
        <v>15604.740232226137</v>
      </c>
      <c r="AI39" s="52">
        <v>15998.351862</v>
      </c>
      <c r="AJ39" s="47">
        <v>-0.05</v>
      </c>
      <c r="AK39" s="10"/>
      <c r="AL39" s="10"/>
      <c r="AM39" s="10"/>
      <c r="AN39" s="10"/>
      <c r="AO39" s="100">
        <v>37529</v>
      </c>
      <c r="AP39" s="101">
        <v>47271.500000000007</v>
      </c>
      <c r="AQ39" s="6">
        <v>10275.425904328667</v>
      </c>
      <c r="AR39" s="103">
        <f t="shared" si="64"/>
        <v>57546.925904328673</v>
      </c>
      <c r="AS39" s="101">
        <v>47271.500000000007</v>
      </c>
      <c r="AT39" s="6">
        <v>10275.425904328667</v>
      </c>
      <c r="AU39" s="103">
        <f t="shared" si="65"/>
        <v>57546.925904328673</v>
      </c>
      <c r="AV39" s="101">
        <v>47271.500000000007</v>
      </c>
      <c r="AW39" s="6">
        <v>10275.425904328667</v>
      </c>
      <c r="AX39" s="103">
        <f t="shared" si="66"/>
        <v>57546.925904328673</v>
      </c>
      <c r="AY39" s="122">
        <f t="shared" si="67"/>
        <v>0.21964780775382922</v>
      </c>
      <c r="AZ39" s="100">
        <v>37529</v>
      </c>
      <c r="BA39" s="105">
        <f t="shared" si="68"/>
        <v>0.11439032141653049</v>
      </c>
      <c r="BB39" s="105">
        <f t="shared" si="69"/>
        <v>0.11439032141653049</v>
      </c>
      <c r="BC39" s="105">
        <f t="shared" si="70"/>
        <v>0.11439032141653049</v>
      </c>
      <c r="BD39" s="10"/>
      <c r="BE39" s="100">
        <v>37529</v>
      </c>
      <c r="BF39" s="105">
        <f t="shared" si="71"/>
        <v>9.0290178706653901E-2</v>
      </c>
      <c r="BG39" s="105">
        <f t="shared" si="72"/>
        <v>9.0290178706653901E-2</v>
      </c>
      <c r="BH39" s="105">
        <f t="shared" si="73"/>
        <v>9.0290178706653901E-2</v>
      </c>
      <c r="BI39" s="10"/>
      <c r="BJ39" s="10"/>
    </row>
    <row r="40" spans="1:62" ht="14.25" customHeight="1">
      <c r="A40" s="10" t="s">
        <v>95</v>
      </c>
      <c r="B40" s="10" t="s">
        <v>205</v>
      </c>
      <c r="C40" s="10" t="s">
        <v>206</v>
      </c>
      <c r="D40" s="10" t="s">
        <v>209</v>
      </c>
      <c r="E40" s="31">
        <v>113993000</v>
      </c>
      <c r="F40" s="39">
        <v>-0.7</v>
      </c>
      <c r="G40" s="40">
        <f t="shared" si="0"/>
        <v>-79795100</v>
      </c>
      <c r="H40" s="10"/>
      <c r="I40" s="10"/>
      <c r="J40" s="44" t="s">
        <v>145</v>
      </c>
      <c r="K40" s="108" t="s">
        <v>146</v>
      </c>
      <c r="L40" s="44"/>
      <c r="M40" s="52">
        <v>3072.4757529592957</v>
      </c>
      <c r="N40" s="52">
        <v>3676.0275229099502</v>
      </c>
      <c r="O40" s="52">
        <v>4126.0343350903895</v>
      </c>
      <c r="P40" s="52">
        <v>5285.4911295675138</v>
      </c>
      <c r="Q40" s="52">
        <v>6141.7912049216038</v>
      </c>
      <c r="R40" s="52">
        <v>6852.590826264006</v>
      </c>
      <c r="S40" s="52">
        <v>6990.7284746206169</v>
      </c>
      <c r="T40" s="52">
        <v>7553.7474179305582</v>
      </c>
      <c r="U40" s="52">
        <v>8502.1197200963943</v>
      </c>
      <c r="V40" s="52">
        <v>9223.125853334408</v>
      </c>
      <c r="W40" s="52">
        <v>10096.288234084053</v>
      </c>
      <c r="X40" s="52">
        <v>10436.74601055216</v>
      </c>
      <c r="Y40" s="52">
        <v>11612.924237480778</v>
      </c>
      <c r="Z40" s="52">
        <v>12722.236117853858</v>
      </c>
      <c r="AA40" s="52">
        <v>13136.609609735033</v>
      </c>
      <c r="AB40" s="52">
        <v>13769.782642065353</v>
      </c>
      <c r="AC40" s="52">
        <v>14002.572843275917</v>
      </c>
      <c r="AD40" s="52">
        <v>13910.547135330617</v>
      </c>
      <c r="AE40" s="52">
        <v>13817.9291588</v>
      </c>
      <c r="AF40" s="52">
        <v>13587.094836650898</v>
      </c>
      <c r="AG40" s="52">
        <v>13347.808241520001</v>
      </c>
      <c r="AH40" s="52">
        <v>14390.018169538505</v>
      </c>
      <c r="AI40" s="52">
        <v>15090.602192</v>
      </c>
      <c r="AJ40" s="47">
        <v>-0.05</v>
      </c>
      <c r="AK40" s="10"/>
      <c r="AL40" s="10"/>
      <c r="AM40" s="10"/>
      <c r="AN40" s="10"/>
      <c r="AO40" s="100">
        <v>37621</v>
      </c>
      <c r="AP40" s="101">
        <v>43963.1</v>
      </c>
      <c r="AQ40" s="6">
        <v>8471.1812295176351</v>
      </c>
      <c r="AR40" s="103">
        <f t="shared" si="64"/>
        <v>52434.281229517634</v>
      </c>
      <c r="AS40" s="101">
        <v>43963.1</v>
      </c>
      <c r="AT40" s="6">
        <v>8471.1812295176351</v>
      </c>
      <c r="AU40" s="103">
        <f t="shared" si="65"/>
        <v>52434.281229517634</v>
      </c>
      <c r="AV40" s="101">
        <v>43963.1</v>
      </c>
      <c r="AW40" s="6">
        <v>8471.1812295176351</v>
      </c>
      <c r="AX40" s="103">
        <f t="shared" si="66"/>
        <v>52434.281229517634</v>
      </c>
      <c r="AY40" s="122">
        <f t="shared" si="67"/>
        <v>0.20897104960881385</v>
      </c>
      <c r="AZ40" s="100">
        <v>37621</v>
      </c>
      <c r="BA40" s="105">
        <f t="shared" si="68"/>
        <v>7.2090514715654974E-2</v>
      </c>
      <c r="BB40" s="105">
        <f t="shared" si="69"/>
        <v>7.2090514715654974E-2</v>
      </c>
      <c r="BC40" s="105">
        <f t="shared" si="70"/>
        <v>7.2090514715654974E-2</v>
      </c>
      <c r="BD40" s="10"/>
      <c r="BE40" s="100">
        <v>37621</v>
      </c>
      <c r="BF40" s="105">
        <f t="shared" si="71"/>
        <v>9.1703322005364463E-2</v>
      </c>
      <c r="BG40" s="105">
        <f t="shared" si="72"/>
        <v>9.1703322005364463E-2</v>
      </c>
      <c r="BH40" s="105">
        <f t="shared" si="73"/>
        <v>9.1703322005364463E-2</v>
      </c>
      <c r="BI40" s="10"/>
      <c r="BJ40" s="10"/>
    </row>
    <row r="41" spans="1:62" ht="14.25" customHeight="1">
      <c r="A41" s="10" t="s">
        <v>95</v>
      </c>
      <c r="B41" s="10" t="s">
        <v>205</v>
      </c>
      <c r="C41" s="10" t="s">
        <v>206</v>
      </c>
      <c r="D41" s="10" t="s">
        <v>210</v>
      </c>
      <c r="E41" s="31">
        <v>327451000</v>
      </c>
      <c r="F41" s="39">
        <v>-0.7</v>
      </c>
      <c r="G41" s="40">
        <f t="shared" si="0"/>
        <v>-229215700</v>
      </c>
      <c r="H41" s="10"/>
      <c r="I41" s="10"/>
      <c r="J41" s="44" t="s">
        <v>149</v>
      </c>
      <c r="K41" s="347" t="s">
        <v>211</v>
      </c>
      <c r="L41" s="348"/>
      <c r="M41" s="52">
        <v>2887.6480739467574</v>
      </c>
      <c r="N41" s="52">
        <v>3877.6371587390831</v>
      </c>
      <c r="O41" s="52">
        <v>4846.8145389397432</v>
      </c>
      <c r="P41" s="52">
        <v>6230.367972732357</v>
      </c>
      <c r="Q41" s="52">
        <v>7289.037673969302</v>
      </c>
      <c r="R41" s="52">
        <v>7652.3547821475158</v>
      </c>
      <c r="S41" s="52">
        <v>7718.6946753784368</v>
      </c>
      <c r="T41" s="52">
        <v>8139.5076646361249</v>
      </c>
      <c r="U41" s="52">
        <v>8669.1503009122698</v>
      </c>
      <c r="V41" s="52">
        <v>9450.1244360432811</v>
      </c>
      <c r="W41" s="52">
        <v>9927.2636557412243</v>
      </c>
      <c r="X41" s="52">
        <v>10396.782076314395</v>
      </c>
      <c r="Y41" s="52">
        <v>11416.325415645895</v>
      </c>
      <c r="Z41" s="52">
        <v>12373.689148095709</v>
      </c>
      <c r="AA41" s="52">
        <v>13029.863236533567</v>
      </c>
      <c r="AB41" s="52">
        <v>13233.197811446444</v>
      </c>
      <c r="AC41" s="52">
        <v>13571.81539681992</v>
      </c>
      <c r="AD41" s="52">
        <v>13597.200557127302</v>
      </c>
      <c r="AE41" s="52">
        <v>13543.596654729999</v>
      </c>
      <c r="AF41" s="52">
        <v>13535.8075674873</v>
      </c>
      <c r="AG41" s="52">
        <v>13966.091100530002</v>
      </c>
      <c r="AH41" s="52">
        <v>14668.656618243662</v>
      </c>
      <c r="AI41" s="52">
        <v>15220.801826000001</v>
      </c>
      <c r="AJ41" s="47">
        <v>0</v>
      </c>
      <c r="AK41" s="10"/>
      <c r="AL41" s="10"/>
      <c r="AM41" s="10"/>
      <c r="AN41" s="10"/>
      <c r="AO41" s="100">
        <v>37711</v>
      </c>
      <c r="AP41" s="101">
        <v>44910.9</v>
      </c>
      <c r="AQ41" s="6">
        <v>8458.8437918035033</v>
      </c>
      <c r="AR41" s="103">
        <f t="shared" si="64"/>
        <v>53369.743791803507</v>
      </c>
      <c r="AS41" s="101">
        <v>44910.9</v>
      </c>
      <c r="AT41" s="6">
        <v>8458.8437918035033</v>
      </c>
      <c r="AU41" s="103">
        <f t="shared" si="65"/>
        <v>53369.743791803507</v>
      </c>
      <c r="AV41" s="101">
        <v>44910.9</v>
      </c>
      <c r="AW41" s="6">
        <v>8458.8437918035033</v>
      </c>
      <c r="AX41" s="103">
        <f t="shared" si="66"/>
        <v>53369.743791803507</v>
      </c>
      <c r="AY41" s="122">
        <f t="shared" si="67"/>
        <v>0.20528955037075816</v>
      </c>
      <c r="AZ41" s="100">
        <v>37711</v>
      </c>
      <c r="BA41" s="105">
        <f t="shared" si="68"/>
        <v>9.781486010471574E-2</v>
      </c>
      <c r="BB41" s="105">
        <f t="shared" si="69"/>
        <v>9.781486010471574E-2</v>
      </c>
      <c r="BC41" s="105">
        <f t="shared" si="70"/>
        <v>9.781486010471574E-2</v>
      </c>
      <c r="BD41" s="10"/>
      <c r="BE41" s="100">
        <v>37711</v>
      </c>
      <c r="BF41" s="105">
        <f t="shared" si="71"/>
        <v>9.0399795954326345E-2</v>
      </c>
      <c r="BG41" s="105">
        <f t="shared" si="72"/>
        <v>9.0399795954326345E-2</v>
      </c>
      <c r="BH41" s="105">
        <f t="shared" si="73"/>
        <v>9.0399795954326345E-2</v>
      </c>
      <c r="BI41" s="10"/>
      <c r="BJ41" s="10"/>
    </row>
    <row r="42" spans="1:62" ht="14.25" customHeight="1">
      <c r="A42" s="10" t="s">
        <v>95</v>
      </c>
      <c r="B42" s="10" t="s">
        <v>205</v>
      </c>
      <c r="C42" s="10" t="s">
        <v>206</v>
      </c>
      <c r="D42" s="10" t="s">
        <v>212</v>
      </c>
      <c r="E42" s="31">
        <v>197843000</v>
      </c>
      <c r="F42" s="39">
        <v>-0.7</v>
      </c>
      <c r="G42" s="40">
        <f t="shared" si="0"/>
        <v>-138490100</v>
      </c>
      <c r="H42" s="10"/>
      <c r="I42" s="10"/>
      <c r="J42" s="44" t="s">
        <v>153</v>
      </c>
      <c r="K42" s="108" t="s">
        <v>154</v>
      </c>
      <c r="L42" s="44"/>
      <c r="M42" s="52">
        <v>540.66499297016423</v>
      </c>
      <c r="N42" s="52">
        <v>725.89990709327742</v>
      </c>
      <c r="O42" s="52">
        <v>875.14054673752514</v>
      </c>
      <c r="P42" s="52">
        <v>992.68166653193703</v>
      </c>
      <c r="Q42" s="52">
        <v>1367.9792881383701</v>
      </c>
      <c r="R42" s="52">
        <v>1461.2395753205219</v>
      </c>
      <c r="S42" s="52">
        <v>1798.4736297080065</v>
      </c>
      <c r="T42" s="52">
        <v>2261.8942132128573</v>
      </c>
      <c r="U42" s="52">
        <v>2172.8823899136814</v>
      </c>
      <c r="V42" s="52">
        <v>2335.0955692167859</v>
      </c>
      <c r="W42" s="52">
        <v>2733.004237413676</v>
      </c>
      <c r="X42" s="52">
        <v>3297.2751962871198</v>
      </c>
      <c r="Y42" s="52">
        <v>3474.98842013274</v>
      </c>
      <c r="Z42" s="52">
        <v>3935.638731837159</v>
      </c>
      <c r="AA42" s="52">
        <v>4020.2325656091766</v>
      </c>
      <c r="AB42" s="52">
        <v>4432.3572778012731</v>
      </c>
      <c r="AC42" s="52">
        <v>4712.7340730864998</v>
      </c>
      <c r="AD42" s="52">
        <v>4690.9299391688828</v>
      </c>
      <c r="AE42" s="52">
        <v>4980.4171547449359</v>
      </c>
      <c r="AF42" s="52">
        <v>5012.928103020422</v>
      </c>
      <c r="AG42" s="52">
        <v>4837.1416855965354</v>
      </c>
      <c r="AH42" s="52">
        <v>5475.6271387479037</v>
      </c>
      <c r="AI42" s="52">
        <v>5960.832813</v>
      </c>
      <c r="AJ42" s="47">
        <v>-1</v>
      </c>
      <c r="AK42" s="10"/>
      <c r="AL42" s="10"/>
      <c r="AM42" s="10"/>
      <c r="AN42" s="10"/>
      <c r="AO42" s="100">
        <v>37802</v>
      </c>
      <c r="AP42" s="101">
        <v>48313.899999999987</v>
      </c>
      <c r="AQ42" s="6">
        <v>10022.119887517811</v>
      </c>
      <c r="AR42" s="103">
        <f t="shared" si="64"/>
        <v>58336.019887517796</v>
      </c>
      <c r="AS42" s="101">
        <v>48313.899999999987</v>
      </c>
      <c r="AT42" s="6">
        <v>10022.119887517811</v>
      </c>
      <c r="AU42" s="103">
        <f t="shared" si="65"/>
        <v>58336.019887517796</v>
      </c>
      <c r="AV42" s="101">
        <v>48313.899999999987</v>
      </c>
      <c r="AW42" s="6">
        <v>10022.119887517811</v>
      </c>
      <c r="AX42" s="103">
        <f t="shared" si="66"/>
        <v>58336.019887517796</v>
      </c>
      <c r="AY42" s="122">
        <f t="shared" si="67"/>
        <v>0.20181986287046155</v>
      </c>
      <c r="AZ42" s="100">
        <v>37802</v>
      </c>
      <c r="BA42" s="105">
        <f t="shared" si="68"/>
        <v>0.11137882998535642</v>
      </c>
      <c r="BB42" s="105">
        <f t="shared" si="69"/>
        <v>0.11137882998535642</v>
      </c>
      <c r="BC42" s="105">
        <f t="shared" si="70"/>
        <v>0.11137882998535642</v>
      </c>
      <c r="BD42" s="10"/>
      <c r="BE42" s="100">
        <v>37802</v>
      </c>
      <c r="BF42" s="105">
        <f t="shared" si="71"/>
        <v>9.9351095929868682E-2</v>
      </c>
      <c r="BG42" s="105">
        <f t="shared" si="72"/>
        <v>9.9351095929868682E-2</v>
      </c>
      <c r="BH42" s="105">
        <f t="shared" si="73"/>
        <v>9.9351095929868682E-2</v>
      </c>
      <c r="BI42" s="10"/>
      <c r="BJ42" s="10"/>
    </row>
    <row r="43" spans="1:62" ht="14.25" customHeight="1">
      <c r="A43" s="10" t="s">
        <v>95</v>
      </c>
      <c r="B43" s="10" t="s">
        <v>205</v>
      </c>
      <c r="C43" s="10" t="s">
        <v>206</v>
      </c>
      <c r="D43" s="10" t="s">
        <v>213</v>
      </c>
      <c r="E43" s="31">
        <v>156212000</v>
      </c>
      <c r="F43" s="39">
        <v>-0.7</v>
      </c>
      <c r="G43" s="40">
        <f t="shared" si="0"/>
        <v>-109348400</v>
      </c>
      <c r="H43" s="10"/>
      <c r="I43" s="10"/>
      <c r="J43" s="44" t="s">
        <v>157</v>
      </c>
      <c r="K43" s="108" t="s">
        <v>158</v>
      </c>
      <c r="L43" s="44"/>
      <c r="M43" s="52">
        <v>1285.0096764689695</v>
      </c>
      <c r="N43" s="52">
        <v>1305.4667075667683</v>
      </c>
      <c r="O43" s="52">
        <v>1431.7888142267675</v>
      </c>
      <c r="P43" s="52">
        <v>1642.0253885907059</v>
      </c>
      <c r="Q43" s="52">
        <v>1840.3103216405602</v>
      </c>
      <c r="R43" s="52">
        <v>1979.1098534375392</v>
      </c>
      <c r="S43" s="52">
        <v>2143.7315908507376</v>
      </c>
      <c r="T43" s="52">
        <v>2407.9096083014106</v>
      </c>
      <c r="U43" s="52">
        <v>2757.8968456000248</v>
      </c>
      <c r="V43" s="52">
        <v>2943.7597679486753</v>
      </c>
      <c r="W43" s="52">
        <v>3218.5902366200617</v>
      </c>
      <c r="X43" s="52">
        <v>3456.6070953389412</v>
      </c>
      <c r="Y43" s="52">
        <v>3616.0606159005797</v>
      </c>
      <c r="Z43" s="52">
        <v>3855.0671975689379</v>
      </c>
      <c r="AA43" s="52">
        <v>4011.4867995148948</v>
      </c>
      <c r="AB43" s="52">
        <v>3990.9881920511266</v>
      </c>
      <c r="AC43" s="52">
        <v>4140.5092579869288</v>
      </c>
      <c r="AD43" s="52">
        <v>4307.8857398950804</v>
      </c>
      <c r="AE43" s="52">
        <v>4451.6821946262016</v>
      </c>
      <c r="AF43" s="52">
        <v>4723.002052697806</v>
      </c>
      <c r="AG43" s="52">
        <v>4663.2375024420107</v>
      </c>
      <c r="AH43" s="52">
        <v>5107.3209826812872</v>
      </c>
      <c r="AI43" s="52">
        <v>5153.0628649999999</v>
      </c>
      <c r="AJ43" s="47">
        <v>-0.5</v>
      </c>
      <c r="AK43" s="10"/>
      <c r="AL43" s="10"/>
      <c r="AM43" s="10"/>
      <c r="AN43" s="10"/>
      <c r="AO43" s="100">
        <v>37894</v>
      </c>
      <c r="AP43" s="101">
        <v>52881</v>
      </c>
      <c r="AQ43" s="6">
        <v>10586.371911850409</v>
      </c>
      <c r="AR43" s="103">
        <f t="shared" si="64"/>
        <v>63467.371911850409</v>
      </c>
      <c r="AS43" s="101">
        <v>52881</v>
      </c>
      <c r="AT43" s="6">
        <v>10586.371911850409</v>
      </c>
      <c r="AU43" s="103">
        <f t="shared" si="65"/>
        <v>63467.371911850409</v>
      </c>
      <c r="AV43" s="101">
        <v>52881</v>
      </c>
      <c r="AW43" s="6">
        <v>10586.371911850409</v>
      </c>
      <c r="AX43" s="103">
        <f t="shared" si="66"/>
        <v>63467.371911850409</v>
      </c>
      <c r="AY43" s="122">
        <f t="shared" si="67"/>
        <v>0.19749952159816445</v>
      </c>
      <c r="AZ43" s="100">
        <v>37894</v>
      </c>
      <c r="BA43" s="105">
        <f t="shared" si="68"/>
        <v>0.10288031748845161</v>
      </c>
      <c r="BB43" s="105">
        <f t="shared" si="69"/>
        <v>0.10288031748845161</v>
      </c>
      <c r="BC43" s="105">
        <f t="shared" si="70"/>
        <v>0.10288031748845161</v>
      </c>
      <c r="BD43" s="10"/>
      <c r="BE43" s="100">
        <v>37894</v>
      </c>
      <c r="BF43" s="105">
        <f t="shared" si="71"/>
        <v>9.6587904018418103E-2</v>
      </c>
      <c r="BG43" s="105">
        <f t="shared" si="72"/>
        <v>9.6587904018418103E-2</v>
      </c>
      <c r="BH43" s="105">
        <f t="shared" si="73"/>
        <v>9.6587904018418103E-2</v>
      </c>
      <c r="BI43" s="10"/>
      <c r="BJ43" s="10"/>
    </row>
    <row r="44" spans="1:62" ht="14.25" customHeight="1">
      <c r="A44" s="10" t="s">
        <v>95</v>
      </c>
      <c r="B44" s="10" t="s">
        <v>205</v>
      </c>
      <c r="C44" s="10" t="s">
        <v>214</v>
      </c>
      <c r="D44" s="10" t="s">
        <v>214</v>
      </c>
      <c r="E44" s="31">
        <v>867000</v>
      </c>
      <c r="F44" s="39">
        <v>-0.7</v>
      </c>
      <c r="G44" s="40">
        <f t="shared" si="0"/>
        <v>-606900</v>
      </c>
      <c r="H44" s="10"/>
      <c r="I44" s="10"/>
      <c r="J44" s="44" t="s">
        <v>162</v>
      </c>
      <c r="K44" s="347" t="s">
        <v>215</v>
      </c>
      <c r="L44" s="348"/>
      <c r="M44" s="52">
        <v>171.65633018363806</v>
      </c>
      <c r="N44" s="52">
        <v>195.50652565699968</v>
      </c>
      <c r="O44" s="52">
        <v>225.52254396460259</v>
      </c>
      <c r="P44" s="52">
        <v>257.58540058781381</v>
      </c>
      <c r="Q44" s="52">
        <v>284.74916512852468</v>
      </c>
      <c r="R44" s="52">
        <v>325.56145746324535</v>
      </c>
      <c r="S44" s="52">
        <v>334.25060416923327</v>
      </c>
      <c r="T44" s="52">
        <v>370.94294425966245</v>
      </c>
      <c r="U44" s="52">
        <v>408.70758254186819</v>
      </c>
      <c r="V44" s="52">
        <v>433.86549191933216</v>
      </c>
      <c r="W44" s="52">
        <v>463.44436111769795</v>
      </c>
      <c r="X44" s="52">
        <v>497.67910022164131</v>
      </c>
      <c r="Y44" s="52">
        <v>546.94894847597436</v>
      </c>
      <c r="Z44" s="52">
        <v>582.60335399999997</v>
      </c>
      <c r="AA44" s="52">
        <v>531.38033800000005</v>
      </c>
      <c r="AB44" s="52">
        <v>480.96344399999998</v>
      </c>
      <c r="AC44" s="52">
        <v>394.37887799999999</v>
      </c>
      <c r="AD44" s="52">
        <v>344.05009799999999</v>
      </c>
      <c r="AE44" s="52">
        <v>306.55219499999998</v>
      </c>
      <c r="AF44" s="52">
        <v>188.57182700000001</v>
      </c>
      <c r="AG44" s="52">
        <v>151.469301</v>
      </c>
      <c r="AH44" s="52">
        <v>131.0595445939465</v>
      </c>
      <c r="AI44" s="52">
        <v>131.147852</v>
      </c>
      <c r="AJ44" s="47">
        <v>0</v>
      </c>
      <c r="AK44" s="10"/>
      <c r="AL44" s="10"/>
      <c r="AM44" s="10"/>
      <c r="AN44" s="10"/>
      <c r="AO44" s="100">
        <v>37986</v>
      </c>
      <c r="AP44" s="101">
        <v>47829.5</v>
      </c>
      <c r="AQ44" s="6">
        <v>9570.4889967475447</v>
      </c>
      <c r="AR44" s="103">
        <f t="shared" si="64"/>
        <v>57399.988996747546</v>
      </c>
      <c r="AS44" s="101">
        <v>47829.5</v>
      </c>
      <c r="AT44" s="6">
        <v>9570.4889967475447</v>
      </c>
      <c r="AU44" s="103">
        <f t="shared" si="65"/>
        <v>57399.988996747546</v>
      </c>
      <c r="AV44" s="101">
        <v>47829.5</v>
      </c>
      <c r="AW44" s="6">
        <v>9570.4889967475447</v>
      </c>
      <c r="AX44" s="103">
        <f t="shared" si="66"/>
        <v>57399.988996747546</v>
      </c>
      <c r="AY44" s="122">
        <f t="shared" si="67"/>
        <v>0.19923048866255536</v>
      </c>
      <c r="AZ44" s="100">
        <v>37986</v>
      </c>
      <c r="BA44" s="105">
        <f t="shared" si="68"/>
        <v>9.4703458325170908E-2</v>
      </c>
      <c r="BB44" s="105">
        <f t="shared" si="69"/>
        <v>9.4703458325170908E-2</v>
      </c>
      <c r="BC44" s="105">
        <f t="shared" si="70"/>
        <v>9.4703458325170908E-2</v>
      </c>
      <c r="BD44" s="10"/>
      <c r="BE44" s="100">
        <v>37986</v>
      </c>
      <c r="BF44" s="105">
        <f t="shared" si="71"/>
        <v>0.10179583964595817</v>
      </c>
      <c r="BG44" s="105">
        <f t="shared" si="72"/>
        <v>0.10179583964595817</v>
      </c>
      <c r="BH44" s="105">
        <f t="shared" si="73"/>
        <v>0.10179583964595817</v>
      </c>
      <c r="BI44" s="10"/>
      <c r="BJ44" s="10"/>
    </row>
    <row r="45" spans="1:62" ht="14.25" customHeight="1">
      <c r="A45" s="10" t="s">
        <v>95</v>
      </c>
      <c r="B45" s="10" t="s">
        <v>205</v>
      </c>
      <c r="C45" s="10" t="s">
        <v>216</v>
      </c>
      <c r="D45" s="10" t="s">
        <v>217</v>
      </c>
      <c r="E45" s="31">
        <v>306327000</v>
      </c>
      <c r="F45" s="39">
        <v>-0.7</v>
      </c>
      <c r="G45" s="40">
        <f t="shared" si="0"/>
        <v>-214428900</v>
      </c>
      <c r="H45" s="10"/>
      <c r="I45" s="10"/>
      <c r="J45" s="44" t="s">
        <v>172</v>
      </c>
      <c r="K45" s="347" t="s">
        <v>218</v>
      </c>
      <c r="L45" s="348"/>
      <c r="M45" s="52" t="s">
        <v>219</v>
      </c>
      <c r="N45" s="52" t="s">
        <v>219</v>
      </c>
      <c r="O45" s="52" t="s">
        <v>219</v>
      </c>
      <c r="P45" s="52" t="s">
        <v>219</v>
      </c>
      <c r="Q45" s="52" t="s">
        <v>219</v>
      </c>
      <c r="R45" s="52" t="s">
        <v>219</v>
      </c>
      <c r="S45" s="52" t="s">
        <v>219</v>
      </c>
      <c r="T45" s="52" t="s">
        <v>219</v>
      </c>
      <c r="U45" s="52" t="s">
        <v>219</v>
      </c>
      <c r="V45" s="52" t="s">
        <v>219</v>
      </c>
      <c r="W45" s="52" t="s">
        <v>219</v>
      </c>
      <c r="X45" s="52" t="s">
        <v>219</v>
      </c>
      <c r="Y45" s="52" t="s">
        <v>219</v>
      </c>
      <c r="Z45" s="52" t="s">
        <v>219</v>
      </c>
      <c r="AA45" s="52" t="s">
        <v>219</v>
      </c>
      <c r="AB45" s="52" t="s">
        <v>219</v>
      </c>
      <c r="AC45" s="52" t="s">
        <v>219</v>
      </c>
      <c r="AD45" s="52" t="s">
        <v>219</v>
      </c>
      <c r="AE45" s="52" t="s">
        <v>219</v>
      </c>
      <c r="AF45" s="52" t="s">
        <v>219</v>
      </c>
      <c r="AG45" s="52" t="s">
        <v>219</v>
      </c>
      <c r="AH45" s="52" t="s">
        <v>219</v>
      </c>
      <c r="AI45" s="52" t="s">
        <v>219</v>
      </c>
      <c r="AJ45" s="47">
        <v>0</v>
      </c>
      <c r="AK45" s="10"/>
      <c r="AL45" s="10"/>
      <c r="AM45" s="10"/>
      <c r="AN45" s="10"/>
      <c r="AO45" s="100">
        <v>38077</v>
      </c>
      <c r="AP45" s="101">
        <v>48922.799999999996</v>
      </c>
      <c r="AQ45" s="6">
        <v>8799</v>
      </c>
      <c r="AR45" s="103">
        <f t="shared" si="64"/>
        <v>57721.799999999996</v>
      </c>
      <c r="AS45" s="101">
        <v>48922.799999999996</v>
      </c>
      <c r="AT45" s="6">
        <v>8799</v>
      </c>
      <c r="AU45" s="103">
        <f t="shared" si="65"/>
        <v>57721.799999999996</v>
      </c>
      <c r="AV45" s="101">
        <v>48922.799999999996</v>
      </c>
      <c r="AW45" s="6">
        <v>8799</v>
      </c>
      <c r="AX45" s="103">
        <f t="shared" si="66"/>
        <v>57721.799999999996</v>
      </c>
      <c r="AY45" s="122">
        <f t="shared" si="67"/>
        <v>0.19691099846886326</v>
      </c>
      <c r="AZ45" s="100">
        <v>38077</v>
      </c>
      <c r="BA45" s="105">
        <f t="shared" si="68"/>
        <v>8.1545383188908582E-2</v>
      </c>
      <c r="BB45" s="105">
        <f t="shared" si="69"/>
        <v>8.1545383188908582E-2</v>
      </c>
      <c r="BC45" s="105">
        <f t="shared" si="70"/>
        <v>8.1545383188908582E-2</v>
      </c>
      <c r="BD45" s="10"/>
      <c r="BE45" s="100">
        <v>38077</v>
      </c>
      <c r="BF45" s="105">
        <f t="shared" si="71"/>
        <v>9.7685270277924063E-2</v>
      </c>
      <c r="BG45" s="105">
        <f t="shared" si="72"/>
        <v>9.7685270277924063E-2</v>
      </c>
      <c r="BH45" s="105">
        <f t="shared" si="73"/>
        <v>9.7685270277924063E-2</v>
      </c>
      <c r="BI45" s="10"/>
      <c r="BJ45" s="10"/>
    </row>
    <row r="46" spans="1:62" ht="14.25" customHeight="1">
      <c r="A46" s="10" t="s">
        <v>95</v>
      </c>
      <c r="B46" s="10" t="s">
        <v>205</v>
      </c>
      <c r="C46" s="10" t="s">
        <v>216</v>
      </c>
      <c r="D46" s="10" t="s">
        <v>220</v>
      </c>
      <c r="E46" s="31">
        <v>95970000</v>
      </c>
      <c r="F46" s="39">
        <v>-0.7</v>
      </c>
      <c r="G46" s="40">
        <f t="shared" si="0"/>
        <v>-67179000</v>
      </c>
      <c r="H46" s="10"/>
      <c r="I46" s="10"/>
      <c r="J46" s="123" t="s">
        <v>221</v>
      </c>
      <c r="K46" s="124"/>
      <c r="L46" s="124"/>
      <c r="M46" s="125">
        <v>97165.432038871149</v>
      </c>
      <c r="N46" s="125">
        <v>108195.50176471793</v>
      </c>
      <c r="O46" s="125">
        <v>123295.12658158237</v>
      </c>
      <c r="P46" s="125">
        <v>134180.53716276196</v>
      </c>
      <c r="Q46" s="125">
        <v>138489.80585847504</v>
      </c>
      <c r="R46" s="125">
        <v>147822.759040637</v>
      </c>
      <c r="S46" s="125">
        <v>159357.78943031284</v>
      </c>
      <c r="T46" s="125">
        <v>174599.10552021244</v>
      </c>
      <c r="U46" s="125">
        <v>193935.49902460101</v>
      </c>
      <c r="V46" s="125">
        <v>210898.50204334519</v>
      </c>
      <c r="W46" s="125">
        <v>227098.77506822901</v>
      </c>
      <c r="X46" s="125">
        <v>247176.29723377869</v>
      </c>
      <c r="Y46" s="125">
        <v>272580.74032397656</v>
      </c>
      <c r="Z46" s="125">
        <v>293609.35638710036</v>
      </c>
      <c r="AA46" s="125">
        <v>283030.87858804676</v>
      </c>
      <c r="AB46" s="125">
        <v>279150.8471778988</v>
      </c>
      <c r="AC46" s="125">
        <v>284482.73633666884</v>
      </c>
      <c r="AD46" s="125">
        <v>278373.35216646537</v>
      </c>
      <c r="AE46" s="125">
        <v>276217.61317899171</v>
      </c>
      <c r="AF46" s="126">
        <v>276364.80819107004</v>
      </c>
      <c r="AG46" s="126">
        <v>281466.2298344408</v>
      </c>
      <c r="AH46" s="126">
        <v>291037.11640469643</v>
      </c>
      <c r="AI46" s="126">
        <v>302659.21902900003</v>
      </c>
      <c r="AJ46" s="10"/>
      <c r="AK46" s="10"/>
      <c r="AL46" s="10"/>
      <c r="AM46" s="10"/>
      <c r="AN46" s="10"/>
      <c r="AO46" s="100">
        <v>38168</v>
      </c>
      <c r="AP46" s="101">
        <v>52785.900000000009</v>
      </c>
      <c r="AQ46" s="6">
        <v>10062</v>
      </c>
      <c r="AR46" s="103">
        <f t="shared" si="64"/>
        <v>62847.900000000009</v>
      </c>
      <c r="AS46" s="101">
        <v>52785.900000000009</v>
      </c>
      <c r="AT46" s="6">
        <v>10062</v>
      </c>
      <c r="AU46" s="103">
        <f t="shared" si="65"/>
        <v>62847.900000000009</v>
      </c>
      <c r="AV46" s="101">
        <v>52785.900000000009</v>
      </c>
      <c r="AW46" s="6">
        <v>10062</v>
      </c>
      <c r="AX46" s="103">
        <f t="shared" si="66"/>
        <v>62847.900000000009</v>
      </c>
      <c r="AY46" s="122">
        <f t="shared" si="67"/>
        <v>0.19275770731530384</v>
      </c>
      <c r="AZ46" s="100">
        <v>38168</v>
      </c>
      <c r="BA46" s="105">
        <f t="shared" si="68"/>
        <v>7.7342954167629596E-2</v>
      </c>
      <c r="BB46" s="105">
        <f t="shared" si="69"/>
        <v>7.7342954167629596E-2</v>
      </c>
      <c r="BC46" s="105">
        <f t="shared" si="70"/>
        <v>7.7342954167629596E-2</v>
      </c>
      <c r="BD46" s="10"/>
      <c r="BE46" s="100">
        <v>38168</v>
      </c>
      <c r="BF46" s="105">
        <f t="shared" si="71"/>
        <v>8.908999037239429E-2</v>
      </c>
      <c r="BG46" s="105">
        <f t="shared" si="72"/>
        <v>8.908999037239429E-2</v>
      </c>
      <c r="BH46" s="105">
        <f t="shared" si="73"/>
        <v>8.908999037239429E-2</v>
      </c>
      <c r="BI46" s="10"/>
      <c r="BJ46" s="10"/>
    </row>
    <row r="47" spans="1:62" ht="14.25" customHeight="1">
      <c r="A47" s="10" t="s">
        <v>95</v>
      </c>
      <c r="B47" s="10" t="s">
        <v>222</v>
      </c>
      <c r="C47" s="10" t="s">
        <v>223</v>
      </c>
      <c r="D47" s="10" t="s">
        <v>224</v>
      </c>
      <c r="E47" s="31">
        <v>4556000</v>
      </c>
      <c r="F47" s="39">
        <v>-0.7</v>
      </c>
      <c r="G47" s="40">
        <f t="shared" si="0"/>
        <v>-3189200</v>
      </c>
      <c r="H47" s="10"/>
      <c r="I47" s="10"/>
      <c r="J47" s="127" t="s">
        <v>225</v>
      </c>
      <c r="K47" s="128"/>
      <c r="L47" s="128"/>
      <c r="M47" s="129">
        <v>20095.804939379472</v>
      </c>
      <c r="N47" s="129">
        <v>20650.92531004902</v>
      </c>
      <c r="O47" s="129">
        <v>23664.764846791641</v>
      </c>
      <c r="P47" s="129">
        <v>27873.915871469198</v>
      </c>
      <c r="Q47" s="129">
        <v>27927.40495987931</v>
      </c>
      <c r="R47" s="129">
        <v>31548.041922564073</v>
      </c>
      <c r="S47" s="129">
        <v>33996.470090722396</v>
      </c>
      <c r="T47" s="129">
        <v>36486.198981964175</v>
      </c>
      <c r="U47" s="129">
        <v>38637.824587919269</v>
      </c>
      <c r="V47" s="129">
        <v>40094.730214686278</v>
      </c>
      <c r="W47" s="129">
        <v>42916.077451879872</v>
      </c>
      <c r="X47" s="129">
        <v>47268.45193997633</v>
      </c>
      <c r="Y47" s="129">
        <v>50210.631259841997</v>
      </c>
      <c r="Z47" s="129">
        <v>53125.804174160126</v>
      </c>
      <c r="AA47" s="129">
        <v>47739.874358392655</v>
      </c>
      <c r="AB47" s="129">
        <v>49673.316463279312</v>
      </c>
      <c r="AC47" s="129">
        <v>48732.066559747065</v>
      </c>
      <c r="AD47" s="129">
        <v>52136.061014832499</v>
      </c>
      <c r="AE47" s="129">
        <v>54991.448236623313</v>
      </c>
      <c r="AF47" s="130">
        <v>54977.963247104701</v>
      </c>
      <c r="AG47" s="130">
        <v>58229.843394629104</v>
      </c>
      <c r="AH47" s="130">
        <v>60131.543212458229</v>
      </c>
      <c r="AI47" s="130">
        <v>63766.908828939027</v>
      </c>
      <c r="AJ47" s="10"/>
      <c r="AK47" s="10"/>
      <c r="AL47" s="10"/>
      <c r="AM47" s="10"/>
      <c r="AN47" s="10"/>
      <c r="AO47" s="100">
        <v>38260</v>
      </c>
      <c r="AP47" s="101">
        <v>57276.800000000003</v>
      </c>
      <c r="AQ47" s="6">
        <v>10711</v>
      </c>
      <c r="AR47" s="103">
        <f t="shared" si="64"/>
        <v>67987.8</v>
      </c>
      <c r="AS47" s="101">
        <v>57276.800000000003</v>
      </c>
      <c r="AT47" s="6">
        <v>10711</v>
      </c>
      <c r="AU47" s="103">
        <f t="shared" si="65"/>
        <v>67987.8</v>
      </c>
      <c r="AV47" s="101">
        <v>57276.800000000003</v>
      </c>
      <c r="AW47" s="6">
        <v>10711</v>
      </c>
      <c r="AX47" s="103">
        <f t="shared" si="66"/>
        <v>67987.8</v>
      </c>
      <c r="AY47" s="122">
        <f t="shared" si="67"/>
        <v>0.18926329810094794</v>
      </c>
      <c r="AZ47" s="100">
        <v>38260</v>
      </c>
      <c r="BA47" s="105">
        <f t="shared" si="68"/>
        <v>7.122444103133807E-2</v>
      </c>
      <c r="BB47" s="105">
        <f t="shared" si="69"/>
        <v>7.122444103133807E-2</v>
      </c>
      <c r="BC47" s="105">
        <f t="shared" si="70"/>
        <v>7.122444103133807E-2</v>
      </c>
      <c r="BD47" s="10"/>
      <c r="BE47" s="100">
        <v>38260</v>
      </c>
      <c r="BF47" s="105">
        <f t="shared" si="71"/>
        <v>8.0621591477023413E-2</v>
      </c>
      <c r="BG47" s="105">
        <f t="shared" si="72"/>
        <v>8.0621591477023413E-2</v>
      </c>
      <c r="BH47" s="105">
        <f t="shared" si="73"/>
        <v>8.0621591477023413E-2</v>
      </c>
      <c r="BI47" s="10"/>
      <c r="BJ47" s="10"/>
    </row>
    <row r="48" spans="1:62" ht="14.25" customHeight="1">
      <c r="A48" s="10" t="s">
        <v>95</v>
      </c>
      <c r="B48" s="10" t="s">
        <v>222</v>
      </c>
      <c r="C48" s="10" t="s">
        <v>223</v>
      </c>
      <c r="D48" s="10" t="s">
        <v>226</v>
      </c>
      <c r="E48" s="31">
        <v>254385000</v>
      </c>
      <c r="F48" s="39">
        <v>-0.7</v>
      </c>
      <c r="G48" s="40">
        <f t="shared" si="0"/>
        <v>-178069500</v>
      </c>
      <c r="H48" s="10"/>
      <c r="I48" s="10"/>
      <c r="J48" s="131" t="s">
        <v>227</v>
      </c>
      <c r="K48" s="124"/>
      <c r="L48" s="124"/>
      <c r="M48" s="125">
        <v>117261.23697825061</v>
      </c>
      <c r="N48" s="125">
        <v>128846.42707476695</v>
      </c>
      <c r="O48" s="125">
        <v>146959.89142837402</v>
      </c>
      <c r="P48" s="125">
        <v>162054.45303423115</v>
      </c>
      <c r="Q48" s="125">
        <v>166417.21081835436</v>
      </c>
      <c r="R48" s="125">
        <v>179370.80096320107</v>
      </c>
      <c r="S48" s="125">
        <v>193354.25952103524</v>
      </c>
      <c r="T48" s="125">
        <v>211085.30450217662</v>
      </c>
      <c r="U48" s="125">
        <v>232573.3236125203</v>
      </c>
      <c r="V48" s="125">
        <v>250993.23225803146</v>
      </c>
      <c r="W48" s="125">
        <v>270014.85252010886</v>
      </c>
      <c r="X48" s="125">
        <v>294444.749173755</v>
      </c>
      <c r="Y48" s="125">
        <v>322791.37158381857</v>
      </c>
      <c r="Z48" s="125">
        <v>346735.16056126048</v>
      </c>
      <c r="AA48" s="125">
        <v>330770.75294643943</v>
      </c>
      <c r="AB48" s="125">
        <v>328824.16364117811</v>
      </c>
      <c r="AC48" s="125">
        <v>333214.80289641593</v>
      </c>
      <c r="AD48" s="125">
        <v>330509.41318129789</v>
      </c>
      <c r="AE48" s="125">
        <v>331209.06141561503</v>
      </c>
      <c r="AF48" s="126">
        <v>331342.77143817476</v>
      </c>
      <c r="AG48" s="126">
        <v>339696.07322906994</v>
      </c>
      <c r="AH48" s="126">
        <v>351168.65961715463</v>
      </c>
      <c r="AI48" s="126">
        <v>366426.12785793905</v>
      </c>
      <c r="AJ48" s="10"/>
      <c r="AK48" s="10"/>
      <c r="AL48" s="10"/>
      <c r="AM48" s="10"/>
      <c r="AN48" s="10"/>
      <c r="AO48" s="100">
        <v>38352</v>
      </c>
      <c r="AP48" s="101">
        <v>51912.800000000003</v>
      </c>
      <c r="AQ48" s="6">
        <v>10523</v>
      </c>
      <c r="AR48" s="103">
        <f t="shared" si="64"/>
        <v>62435.8</v>
      </c>
      <c r="AS48" s="101">
        <v>51912.800000000003</v>
      </c>
      <c r="AT48" s="6">
        <v>10523</v>
      </c>
      <c r="AU48" s="103">
        <f t="shared" si="65"/>
        <v>62435.8</v>
      </c>
      <c r="AV48" s="101">
        <v>51912.800000000003</v>
      </c>
      <c r="AW48" s="6">
        <v>10523</v>
      </c>
      <c r="AX48" s="103">
        <f t="shared" si="66"/>
        <v>62435.8</v>
      </c>
      <c r="AY48" s="122">
        <f t="shared" si="67"/>
        <v>0.19011533046970983</v>
      </c>
      <c r="AZ48" s="100">
        <v>38352</v>
      </c>
      <c r="BA48" s="105">
        <f t="shared" si="68"/>
        <v>8.7731915829074358E-2</v>
      </c>
      <c r="BB48" s="105">
        <f t="shared" si="69"/>
        <v>8.7731915829074358E-2</v>
      </c>
      <c r="BC48" s="105">
        <f t="shared" si="70"/>
        <v>8.7731915829074358E-2</v>
      </c>
      <c r="BD48" s="10"/>
      <c r="BE48" s="100">
        <v>38352</v>
      </c>
      <c r="BF48" s="105">
        <f t="shared" si="71"/>
        <v>7.9201650855911243E-2</v>
      </c>
      <c r="BG48" s="105">
        <f t="shared" si="72"/>
        <v>7.9201650855911243E-2</v>
      </c>
      <c r="BH48" s="105">
        <f t="shared" si="73"/>
        <v>7.9201650855911243E-2</v>
      </c>
      <c r="BI48" s="10"/>
      <c r="BJ48" s="10"/>
    </row>
    <row r="49" spans="1:62" ht="14.25" customHeight="1">
      <c r="A49" s="10" t="s">
        <v>95</v>
      </c>
      <c r="B49" s="10" t="s">
        <v>222</v>
      </c>
      <c r="C49" s="10" t="s">
        <v>228</v>
      </c>
      <c r="D49" s="10" t="s">
        <v>228</v>
      </c>
      <c r="E49" s="31">
        <v>436569000</v>
      </c>
      <c r="F49" s="39">
        <v>-0.7</v>
      </c>
      <c r="G49" s="40">
        <f t="shared" si="0"/>
        <v>-305598300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0">
        <v>38442</v>
      </c>
      <c r="AP49" s="101">
        <v>52026.9</v>
      </c>
      <c r="AQ49" s="6">
        <v>8451.7109612625354</v>
      </c>
      <c r="AR49" s="103">
        <f t="shared" si="64"/>
        <v>60478.610961262537</v>
      </c>
      <c r="AS49" s="101">
        <v>52026.9</v>
      </c>
      <c r="AT49" s="6">
        <v>8451.7109612625354</v>
      </c>
      <c r="AU49" s="103">
        <f t="shared" si="65"/>
        <v>60478.610961262537</v>
      </c>
      <c r="AV49" s="101">
        <v>52026.9</v>
      </c>
      <c r="AW49" s="6">
        <v>8451.7109612625354</v>
      </c>
      <c r="AX49" s="103">
        <f t="shared" si="66"/>
        <v>60478.610961262537</v>
      </c>
      <c r="AY49" s="122">
        <f t="shared" si="67"/>
        <v>0.18573488410065744</v>
      </c>
      <c r="AZ49" s="100">
        <v>38442</v>
      </c>
      <c r="BA49" s="105">
        <f t="shared" si="68"/>
        <v>4.776030825896882E-2</v>
      </c>
      <c r="BB49" s="105">
        <f t="shared" si="69"/>
        <v>4.776030825896882E-2</v>
      </c>
      <c r="BC49" s="105">
        <f t="shared" si="70"/>
        <v>4.776030825896882E-2</v>
      </c>
      <c r="BD49" s="10"/>
      <c r="BE49" s="100">
        <v>38442</v>
      </c>
      <c r="BF49" s="105">
        <f t="shared" si="71"/>
        <v>7.1013685031754425E-2</v>
      </c>
      <c r="BG49" s="105">
        <f t="shared" si="72"/>
        <v>7.1013685031754425E-2</v>
      </c>
      <c r="BH49" s="105">
        <f t="shared" si="73"/>
        <v>7.1013685031754425E-2</v>
      </c>
      <c r="BI49" s="10"/>
      <c r="BJ49" s="10"/>
    </row>
    <row r="50" spans="1:62" ht="14.25" customHeight="1">
      <c r="A50" s="10" t="s">
        <v>95</v>
      </c>
      <c r="B50" s="10" t="s">
        <v>229</v>
      </c>
      <c r="C50" s="10" t="s">
        <v>230</v>
      </c>
      <c r="D50" s="10" t="s">
        <v>230</v>
      </c>
      <c r="E50" s="31">
        <v>920890000</v>
      </c>
      <c r="F50" s="39">
        <v>-0.2</v>
      </c>
      <c r="G50" s="40">
        <f t="shared" si="0"/>
        <v>-184178000</v>
      </c>
      <c r="H50" s="10"/>
      <c r="I50" s="10"/>
      <c r="J50" s="10"/>
      <c r="K50" s="10"/>
      <c r="L50" s="10"/>
      <c r="M50" s="10"/>
      <c r="N50" s="105">
        <f t="shared" ref="N50:AI50" si="74">N39/M39-1</f>
        <v>0.15973760175977425</v>
      </c>
      <c r="O50" s="105">
        <f t="shared" si="74"/>
        <v>0.15556742856377226</v>
      </c>
      <c r="P50" s="105">
        <f t="shared" si="74"/>
        <v>0.21514169370341429</v>
      </c>
      <c r="Q50" s="105">
        <f t="shared" si="74"/>
        <v>4.9859529111127676E-2</v>
      </c>
      <c r="R50" s="105">
        <f t="shared" si="74"/>
        <v>2.265268757062322E-2</v>
      </c>
      <c r="S50" s="105">
        <f t="shared" si="74"/>
        <v>-7.0376248507232564E-2</v>
      </c>
      <c r="T50" s="105">
        <f t="shared" si="74"/>
        <v>-1.2366864517089349E-3</v>
      </c>
      <c r="U50" s="105">
        <f t="shared" si="74"/>
        <v>3.5730292781681161E-2</v>
      </c>
      <c r="V50" s="105">
        <f t="shared" si="74"/>
        <v>7.0103725153810581E-2</v>
      </c>
      <c r="W50" s="105">
        <f t="shared" si="74"/>
        <v>-1.1221281135470829E-2</v>
      </c>
      <c r="X50" s="105">
        <f t="shared" si="74"/>
        <v>7.6484467023559821E-2</v>
      </c>
      <c r="Y50" s="105">
        <f t="shared" si="74"/>
        <v>9.7694786359408647E-2</v>
      </c>
      <c r="Z50" s="105">
        <f t="shared" si="74"/>
        <v>2.8878455805440462E-2</v>
      </c>
      <c r="AA50" s="105">
        <f t="shared" si="74"/>
        <v>7.3855922192315848E-2</v>
      </c>
      <c r="AB50" s="105">
        <f t="shared" si="74"/>
        <v>-1.2245932564036721E-2</v>
      </c>
      <c r="AC50" s="105">
        <f t="shared" si="74"/>
        <v>-4.2604272233076612E-2</v>
      </c>
      <c r="AD50" s="105">
        <f t="shared" si="74"/>
        <v>-2.68026893748744E-2</v>
      </c>
      <c r="AE50" s="105">
        <f t="shared" si="74"/>
        <v>-5.1880911571452581E-2</v>
      </c>
      <c r="AF50" s="105">
        <f t="shared" si="74"/>
        <v>8.1599731328378944E-3</v>
      </c>
      <c r="AG50" s="105">
        <f t="shared" si="74"/>
        <v>1.44622682283575E-2</v>
      </c>
      <c r="AH50" s="105">
        <f t="shared" si="74"/>
        <v>-8.7615631843562802E-4</v>
      </c>
      <c r="AI50" s="105">
        <f t="shared" si="74"/>
        <v>2.5223850183740737E-2</v>
      </c>
      <c r="AJ50" s="10"/>
      <c r="AK50" s="10"/>
      <c r="AL50" s="10"/>
      <c r="AM50" s="10"/>
      <c r="AN50" s="10"/>
      <c r="AO50" s="100">
        <v>38533</v>
      </c>
      <c r="AP50" s="101">
        <v>57109.200000000004</v>
      </c>
      <c r="AQ50" s="6">
        <v>10760.355366974045</v>
      </c>
      <c r="AR50" s="103">
        <f t="shared" si="64"/>
        <v>67869.555366974048</v>
      </c>
      <c r="AS50" s="101">
        <v>57109.200000000004</v>
      </c>
      <c r="AT50" s="6">
        <v>10760.355366974045</v>
      </c>
      <c r="AU50" s="103">
        <f t="shared" si="65"/>
        <v>67869.555366974048</v>
      </c>
      <c r="AV50" s="101">
        <v>57109.200000000004</v>
      </c>
      <c r="AW50" s="6">
        <v>10760.355366974045</v>
      </c>
      <c r="AX50" s="103">
        <f t="shared" si="66"/>
        <v>67869.555366974048</v>
      </c>
      <c r="AY50" s="122">
        <f t="shared" si="67"/>
        <v>0.18525563563170336</v>
      </c>
      <c r="AZ50" s="100">
        <v>38533</v>
      </c>
      <c r="BA50" s="105">
        <f t="shared" si="68"/>
        <v>7.9901720932187725E-2</v>
      </c>
      <c r="BB50" s="105">
        <f t="shared" si="69"/>
        <v>7.9901720932187725E-2</v>
      </c>
      <c r="BC50" s="105">
        <f t="shared" si="70"/>
        <v>7.9901720932187725E-2</v>
      </c>
      <c r="BD50" s="10"/>
      <c r="BE50" s="100">
        <v>38533</v>
      </c>
      <c r="BF50" s="105">
        <f t="shared" si="71"/>
        <v>7.1798030320627371E-2</v>
      </c>
      <c r="BG50" s="105">
        <f t="shared" si="72"/>
        <v>7.1798030320627371E-2</v>
      </c>
      <c r="BH50" s="105">
        <f t="shared" si="73"/>
        <v>7.1798030320627371E-2</v>
      </c>
      <c r="BI50" s="10"/>
      <c r="BJ50" s="10"/>
    </row>
    <row r="51" spans="1:62" ht="14.25" customHeight="1">
      <c r="A51" s="10" t="s">
        <v>95</v>
      </c>
      <c r="B51" s="10" t="s">
        <v>229</v>
      </c>
      <c r="C51" s="10" t="s">
        <v>231</v>
      </c>
      <c r="D51" s="10" t="s">
        <v>232</v>
      </c>
      <c r="E51" s="31">
        <v>311660000</v>
      </c>
      <c r="F51" s="39">
        <v>-0.2</v>
      </c>
      <c r="G51" s="40">
        <f t="shared" si="0"/>
        <v>-62332000</v>
      </c>
      <c r="H51" s="10"/>
      <c r="I51" s="10"/>
      <c r="J51" s="10"/>
      <c r="K51" s="10"/>
      <c r="L51" s="10"/>
      <c r="M51" s="10"/>
      <c r="N51" s="105">
        <f t="shared" ref="N51:AI51" si="75">N40/M40-1</f>
        <v>0.19643825321301089</v>
      </c>
      <c r="O51" s="105">
        <f t="shared" si="75"/>
        <v>0.12241660579957059</v>
      </c>
      <c r="P51" s="105">
        <f t="shared" si="75"/>
        <v>0.28100997236411129</v>
      </c>
      <c r="Q51" s="105">
        <f t="shared" si="75"/>
        <v>0.16200955679669393</v>
      </c>
      <c r="R51" s="105">
        <f t="shared" si="75"/>
        <v>0.11573164857392371</v>
      </c>
      <c r="S51" s="105">
        <f t="shared" si="75"/>
        <v>2.0158455664267771E-2</v>
      </c>
      <c r="T51" s="105">
        <f t="shared" si="75"/>
        <v>8.0537950423041682E-2</v>
      </c>
      <c r="U51" s="105">
        <f t="shared" si="75"/>
        <v>0.12554990916358366</v>
      </c>
      <c r="V51" s="105">
        <f t="shared" si="75"/>
        <v>8.4803102870190994E-2</v>
      </c>
      <c r="W51" s="105">
        <f t="shared" si="75"/>
        <v>9.4670981902949203E-2</v>
      </c>
      <c r="X51" s="105">
        <f t="shared" si="75"/>
        <v>3.37210832906647E-2</v>
      </c>
      <c r="Y51" s="105">
        <f t="shared" si="75"/>
        <v>0.11269587529862601</v>
      </c>
      <c r="Z51" s="105">
        <f t="shared" si="75"/>
        <v>9.5523905752589844E-2</v>
      </c>
      <c r="AA51" s="105">
        <f t="shared" si="75"/>
        <v>3.2570806581687428E-2</v>
      </c>
      <c r="AB51" s="105">
        <f t="shared" si="75"/>
        <v>4.8199120712326016E-2</v>
      </c>
      <c r="AC51" s="105">
        <f t="shared" si="75"/>
        <v>1.6905873335967714E-2</v>
      </c>
      <c r="AD51" s="105">
        <f t="shared" si="75"/>
        <v>-6.5720570766030217E-3</v>
      </c>
      <c r="AE51" s="105">
        <f t="shared" si="75"/>
        <v>-6.6581116924856465E-3</v>
      </c>
      <c r="AF51" s="105">
        <f t="shared" si="75"/>
        <v>-1.6705420869963961E-2</v>
      </c>
      <c r="AG51" s="105">
        <f t="shared" si="75"/>
        <v>-1.7611314118852528E-2</v>
      </c>
      <c r="AH51" s="105">
        <f t="shared" si="75"/>
        <v>7.8080978476794627E-2</v>
      </c>
      <c r="AI51" s="105">
        <f t="shared" si="75"/>
        <v>4.8685416113269708E-2</v>
      </c>
      <c r="AJ51" s="10"/>
      <c r="AK51" s="10"/>
      <c r="AL51" s="10"/>
      <c r="AM51" s="10"/>
      <c r="AN51" s="10"/>
      <c r="AO51" s="100">
        <v>38625</v>
      </c>
      <c r="AP51" s="101">
        <v>61514.1</v>
      </c>
      <c r="AQ51" s="6">
        <v>12369.30509664069</v>
      </c>
      <c r="AR51" s="103">
        <f t="shared" si="64"/>
        <v>73883.405096640694</v>
      </c>
      <c r="AS51" s="101">
        <v>61514.1</v>
      </c>
      <c r="AT51" s="6">
        <v>12369.30509664069</v>
      </c>
      <c r="AU51" s="103">
        <f t="shared" si="65"/>
        <v>73883.405096640694</v>
      </c>
      <c r="AV51" s="101">
        <v>61514.1</v>
      </c>
      <c r="AW51" s="6">
        <v>12369.30509664069</v>
      </c>
      <c r="AX51" s="103">
        <f t="shared" si="66"/>
        <v>73883.405096640694</v>
      </c>
      <c r="AY51" s="122">
        <f t="shared" si="67"/>
        <v>0.18917956454971069</v>
      </c>
      <c r="AZ51" s="100">
        <v>38625</v>
      </c>
      <c r="BA51" s="105">
        <f t="shared" si="68"/>
        <v>8.6715632755298699E-2</v>
      </c>
      <c r="BB51" s="105">
        <f t="shared" si="69"/>
        <v>8.6715632755298699E-2</v>
      </c>
      <c r="BC51" s="105">
        <f t="shared" si="70"/>
        <v>8.6715632755298699E-2</v>
      </c>
      <c r="BD51" s="10"/>
      <c r="BE51" s="100">
        <v>38625</v>
      </c>
      <c r="BF51" s="105">
        <f t="shared" si="71"/>
        <v>7.6069578139078997E-2</v>
      </c>
      <c r="BG51" s="105">
        <f t="shared" si="72"/>
        <v>7.6069578139078997E-2</v>
      </c>
      <c r="BH51" s="105">
        <f t="shared" si="73"/>
        <v>7.6069578139078997E-2</v>
      </c>
      <c r="BI51" s="10"/>
      <c r="BJ51" s="10"/>
    </row>
    <row r="52" spans="1:62" ht="14.25" customHeight="1">
      <c r="A52" s="10" t="s">
        <v>95</v>
      </c>
      <c r="B52" s="10" t="s">
        <v>229</v>
      </c>
      <c r="C52" s="10" t="s">
        <v>231</v>
      </c>
      <c r="D52" s="10" t="s">
        <v>233</v>
      </c>
      <c r="E52" s="31">
        <v>163053000</v>
      </c>
      <c r="F52" s="39">
        <v>-0.2</v>
      </c>
      <c r="G52" s="40">
        <f t="shared" si="0"/>
        <v>-32610600</v>
      </c>
      <c r="H52" s="10"/>
      <c r="I52" s="10"/>
      <c r="J52" s="10"/>
      <c r="K52" s="10"/>
      <c r="L52" s="10"/>
      <c r="M52" s="10"/>
      <c r="N52" s="105">
        <f t="shared" ref="N52:AI52" si="76">N41/M41-1</f>
        <v>0.34283578172988238</v>
      </c>
      <c r="O52" s="105">
        <f t="shared" si="76"/>
        <v>0.24994019309321192</v>
      </c>
      <c r="P52" s="105">
        <f t="shared" si="76"/>
        <v>0.28545623577651291</v>
      </c>
      <c r="Q52" s="105">
        <f t="shared" si="76"/>
        <v>0.16992089486051021</v>
      </c>
      <c r="R52" s="105">
        <f t="shared" si="76"/>
        <v>4.9844317511994252E-2</v>
      </c>
      <c r="S52" s="105">
        <f t="shared" si="76"/>
        <v>8.6692129572569776E-3</v>
      </c>
      <c r="T52" s="105">
        <f t="shared" si="76"/>
        <v>5.451867277507727E-2</v>
      </c>
      <c r="U52" s="105">
        <f t="shared" si="76"/>
        <v>6.5070598628132359E-2</v>
      </c>
      <c r="V52" s="105">
        <f t="shared" si="76"/>
        <v>9.0086583808430154E-2</v>
      </c>
      <c r="W52" s="105">
        <f t="shared" si="76"/>
        <v>5.049025787196082E-2</v>
      </c>
      <c r="X52" s="105">
        <f t="shared" si="76"/>
        <v>4.7295854815101457E-2</v>
      </c>
      <c r="Y52" s="105">
        <f t="shared" si="76"/>
        <v>9.8063355742945557E-2</v>
      </c>
      <c r="Z52" s="105">
        <f t="shared" si="76"/>
        <v>8.3859183896226597E-2</v>
      </c>
      <c r="AA52" s="105">
        <f t="shared" si="76"/>
        <v>5.3029786071427276E-2</v>
      </c>
      <c r="AB52" s="105">
        <f t="shared" si="76"/>
        <v>1.5605273149971399E-2</v>
      </c>
      <c r="AC52" s="105">
        <f t="shared" si="76"/>
        <v>2.5588492683195518E-2</v>
      </c>
      <c r="AD52" s="105">
        <f t="shared" si="76"/>
        <v>1.8704321835478765E-3</v>
      </c>
      <c r="AE52" s="105">
        <f t="shared" si="76"/>
        <v>-3.9422748949013986E-3</v>
      </c>
      <c r="AF52" s="105">
        <f t="shared" si="76"/>
        <v>-5.7511216859662539E-4</v>
      </c>
      <c r="AG52" s="105">
        <f t="shared" si="76"/>
        <v>3.1788537986919385E-2</v>
      </c>
      <c r="AH52" s="105">
        <f t="shared" si="76"/>
        <v>5.0305093433551828E-2</v>
      </c>
      <c r="AI52" s="105">
        <f t="shared" si="76"/>
        <v>3.7641157068850184E-2</v>
      </c>
      <c r="AJ52" s="10"/>
      <c r="AK52" s="10"/>
      <c r="AL52" s="10"/>
      <c r="AM52" s="10"/>
      <c r="AN52" s="10"/>
      <c r="AO52" s="100">
        <v>38717</v>
      </c>
      <c r="AP52" s="101">
        <v>56448.5</v>
      </c>
      <c r="AQ52" s="6">
        <v>11334.706027002605</v>
      </c>
      <c r="AR52" s="103">
        <f t="shared" si="64"/>
        <v>67783.206027002598</v>
      </c>
      <c r="AS52" s="101">
        <v>56448.5</v>
      </c>
      <c r="AT52" s="6">
        <v>11334.706027002605</v>
      </c>
      <c r="AU52" s="103">
        <f t="shared" si="65"/>
        <v>67783.206027002598</v>
      </c>
      <c r="AV52" s="101">
        <v>56448.5</v>
      </c>
      <c r="AW52" s="6">
        <v>11334.706027002605</v>
      </c>
      <c r="AX52" s="103">
        <f t="shared" si="66"/>
        <v>67783.206027002598</v>
      </c>
      <c r="AY52" s="122">
        <f t="shared" si="67"/>
        <v>0.18897544306453481</v>
      </c>
      <c r="AZ52" s="100">
        <v>38717</v>
      </c>
      <c r="BA52" s="105">
        <f t="shared" si="68"/>
        <v>8.5646472488581704E-2</v>
      </c>
      <c r="BB52" s="105">
        <f t="shared" si="69"/>
        <v>8.5646472488581704E-2</v>
      </c>
      <c r="BC52" s="105">
        <f t="shared" si="70"/>
        <v>8.5646472488581704E-2</v>
      </c>
      <c r="BD52" s="10"/>
      <c r="BE52" s="100">
        <v>38717</v>
      </c>
      <c r="BF52" s="105">
        <f t="shared" si="71"/>
        <v>7.578480163366863E-2</v>
      </c>
      <c r="BG52" s="105">
        <f t="shared" si="72"/>
        <v>7.578480163366863E-2</v>
      </c>
      <c r="BH52" s="105">
        <f t="shared" si="73"/>
        <v>7.578480163366863E-2</v>
      </c>
      <c r="BI52" s="10"/>
      <c r="BJ52" s="10"/>
    </row>
    <row r="53" spans="1:62" ht="14.25" customHeight="1">
      <c r="A53" s="10" t="s">
        <v>95</v>
      </c>
      <c r="B53" s="10" t="s">
        <v>229</v>
      </c>
      <c r="C53" s="10" t="s">
        <v>231</v>
      </c>
      <c r="D53" s="10" t="s">
        <v>235</v>
      </c>
      <c r="E53" s="31">
        <v>334348000</v>
      </c>
      <c r="F53" s="39">
        <v>-0.2</v>
      </c>
      <c r="G53" s="40">
        <f t="shared" si="0"/>
        <v>-66869600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0">
        <v>38807</v>
      </c>
      <c r="AP53" s="101">
        <v>57067.5</v>
      </c>
      <c r="AQ53" s="6">
        <v>9872.1229558718132</v>
      </c>
      <c r="AR53" s="103">
        <f t="shared" si="64"/>
        <v>66939.622955871819</v>
      </c>
      <c r="AS53" s="101">
        <v>57067.5</v>
      </c>
      <c r="AT53" s="6">
        <v>9872.1229558718132</v>
      </c>
      <c r="AU53" s="103">
        <f t="shared" si="65"/>
        <v>66939.622955871819</v>
      </c>
      <c r="AV53" s="101">
        <v>57067.5</v>
      </c>
      <c r="AW53" s="6">
        <v>9872.1229558718132</v>
      </c>
      <c r="AX53" s="103">
        <f t="shared" si="66"/>
        <v>66939.622955871819</v>
      </c>
      <c r="AY53" s="122">
        <f t="shared" si="67"/>
        <v>0.1909908811066853</v>
      </c>
      <c r="AZ53" s="100">
        <v>38807</v>
      </c>
      <c r="BA53" s="105">
        <f t="shared" si="68"/>
        <v>0.10683135561343593</v>
      </c>
      <c r="BB53" s="105">
        <f t="shared" si="69"/>
        <v>0.10683135561343593</v>
      </c>
      <c r="BC53" s="105">
        <f t="shared" si="70"/>
        <v>0.10683135561343593</v>
      </c>
      <c r="BD53" s="10"/>
      <c r="BE53" s="100">
        <v>38807</v>
      </c>
      <c r="BF53" s="105">
        <f t="shared" si="71"/>
        <v>8.9559284916710391E-2</v>
      </c>
      <c r="BG53" s="105">
        <f t="shared" si="72"/>
        <v>8.9559284916710391E-2</v>
      </c>
      <c r="BH53" s="105">
        <f t="shared" si="73"/>
        <v>8.9559284916710391E-2</v>
      </c>
      <c r="BI53" s="10"/>
      <c r="BJ53" s="10"/>
    </row>
    <row r="54" spans="1:62" ht="14.25" customHeight="1">
      <c r="A54" s="10" t="s">
        <v>95</v>
      </c>
      <c r="B54" s="10" t="s">
        <v>229</v>
      </c>
      <c r="C54" s="10" t="s">
        <v>231</v>
      </c>
      <c r="D54" s="10" t="s">
        <v>239</v>
      </c>
      <c r="E54" s="31">
        <v>139334000</v>
      </c>
      <c r="F54" s="39">
        <v>-0.2</v>
      </c>
      <c r="G54" s="40">
        <f t="shared" si="0"/>
        <v>-27866800</v>
      </c>
      <c r="H54" s="10"/>
      <c r="I54" s="10"/>
      <c r="J54" s="10"/>
      <c r="K54" s="10"/>
      <c r="L54" s="10"/>
      <c r="M54" s="10"/>
      <c r="N54" s="135">
        <f t="shared" ref="N54:AI54" si="77">SUM(N26:N27)</f>
        <v>426.07717020882154</v>
      </c>
      <c r="O54" s="135">
        <f t="shared" si="77"/>
        <v>524.63747610782457</v>
      </c>
      <c r="P54" s="135">
        <f t="shared" si="77"/>
        <v>489.0639878324418</v>
      </c>
      <c r="Q54" s="135">
        <f t="shared" si="77"/>
        <v>474.30089932183296</v>
      </c>
      <c r="R54" s="135">
        <f t="shared" si="77"/>
        <v>565.16855132704654</v>
      </c>
      <c r="S54" s="135">
        <f t="shared" si="77"/>
        <v>632.8706693742015</v>
      </c>
      <c r="T54" s="135">
        <f t="shared" si="77"/>
        <v>691.72426857956384</v>
      </c>
      <c r="U54" s="135">
        <f t="shared" si="77"/>
        <v>786.62192656535092</v>
      </c>
      <c r="V54" s="135">
        <f t="shared" si="77"/>
        <v>929.45451430240587</v>
      </c>
      <c r="W54" s="135">
        <f t="shared" si="77"/>
        <v>1084.9778701097698</v>
      </c>
      <c r="X54" s="135">
        <f t="shared" si="77"/>
        <v>1084.1878341302706</v>
      </c>
      <c r="Y54" s="135">
        <f t="shared" si="77"/>
        <v>1397.0015018628383</v>
      </c>
      <c r="Z54" s="135">
        <f t="shared" si="77"/>
        <v>1788.0687126869748</v>
      </c>
      <c r="AA54" s="135">
        <f t="shared" si="77"/>
        <v>1626.6038917012254</v>
      </c>
      <c r="AB54" s="135">
        <f t="shared" si="77"/>
        <v>1670.8251930817046</v>
      </c>
      <c r="AC54" s="135">
        <f t="shared" si="77"/>
        <v>1575.8611060613907</v>
      </c>
      <c r="AD54" s="135">
        <f t="shared" si="77"/>
        <v>1563.9099941838108</v>
      </c>
      <c r="AE54" s="135">
        <f t="shared" si="77"/>
        <v>1614.3472764013402</v>
      </c>
      <c r="AF54" s="135">
        <f t="shared" si="77"/>
        <v>1670.8223545131414</v>
      </c>
      <c r="AG54" s="135">
        <f t="shared" si="77"/>
        <v>1879.146457861352</v>
      </c>
      <c r="AH54" s="135">
        <f t="shared" si="77"/>
        <v>1988.1007051491883</v>
      </c>
      <c r="AI54" s="135">
        <f t="shared" si="77"/>
        <v>2382.3380040000002</v>
      </c>
      <c r="AJ54" s="10"/>
      <c r="AK54" s="10"/>
      <c r="AL54" s="10"/>
      <c r="AM54" s="10"/>
      <c r="AN54" s="10"/>
      <c r="AO54" s="100">
        <v>38898</v>
      </c>
      <c r="AP54" s="101">
        <v>61975.700000000004</v>
      </c>
      <c r="AQ54" s="6">
        <v>11825.99147975083</v>
      </c>
      <c r="AR54" s="103">
        <f t="shared" si="64"/>
        <v>73801.691479750836</v>
      </c>
      <c r="AS54" s="101">
        <v>61975.700000000004</v>
      </c>
      <c r="AT54" s="6">
        <v>11825.99147975083</v>
      </c>
      <c r="AU54" s="103">
        <f t="shared" si="65"/>
        <v>73801.691479750836</v>
      </c>
      <c r="AV54" s="101">
        <v>61975.700000000004</v>
      </c>
      <c r="AW54" s="6">
        <v>11825.99147975083</v>
      </c>
      <c r="AX54" s="103">
        <f t="shared" si="66"/>
        <v>73801.691479750836</v>
      </c>
      <c r="AY54" s="122">
        <f t="shared" si="67"/>
        <v>0.19156546193918433</v>
      </c>
      <c r="AZ54" s="100">
        <v>38898</v>
      </c>
      <c r="BA54" s="105">
        <f t="shared" si="68"/>
        <v>8.7404965020051018E-2</v>
      </c>
      <c r="BB54" s="105">
        <f t="shared" si="69"/>
        <v>8.7404965020051018E-2</v>
      </c>
      <c r="BC54" s="105">
        <f t="shared" si="70"/>
        <v>8.7404965020051018E-2</v>
      </c>
      <c r="BD54" s="10"/>
      <c r="BE54" s="100">
        <v>38898</v>
      </c>
      <c r="BF54" s="105">
        <f t="shared" si="71"/>
        <v>9.1339791687506944E-2</v>
      </c>
      <c r="BG54" s="105">
        <f t="shared" si="72"/>
        <v>9.1339791687506944E-2</v>
      </c>
      <c r="BH54" s="105">
        <f t="shared" si="73"/>
        <v>9.1339791687506944E-2</v>
      </c>
      <c r="BI54" s="10"/>
      <c r="BJ54" s="10"/>
    </row>
    <row r="55" spans="1:62" ht="14.25" customHeight="1">
      <c r="A55" s="10" t="s">
        <v>95</v>
      </c>
      <c r="B55" s="10" t="s">
        <v>229</v>
      </c>
      <c r="C55" s="10" t="s">
        <v>231</v>
      </c>
      <c r="D55" s="10" t="s">
        <v>246</v>
      </c>
      <c r="E55" s="31">
        <v>198500000</v>
      </c>
      <c r="F55" s="39">
        <v>-0.2</v>
      </c>
      <c r="G55" s="40">
        <f t="shared" si="0"/>
        <v>-39700000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0">
        <v>38990</v>
      </c>
      <c r="AP55" s="101">
        <v>66923.100000000006</v>
      </c>
      <c r="AQ55" s="6">
        <v>12912.21726078288</v>
      </c>
      <c r="AR55" s="103">
        <f t="shared" si="64"/>
        <v>79835.317260782889</v>
      </c>
      <c r="AS55" s="101">
        <v>66923.100000000006</v>
      </c>
      <c r="AT55" s="6">
        <v>12912.21726078288</v>
      </c>
      <c r="AU55" s="103">
        <f t="shared" si="65"/>
        <v>79835.317260782889</v>
      </c>
      <c r="AV55" s="101">
        <v>66923.100000000006</v>
      </c>
      <c r="AW55" s="6">
        <v>12912.21726078288</v>
      </c>
      <c r="AX55" s="103">
        <f t="shared" si="66"/>
        <v>79835.317260782889</v>
      </c>
      <c r="AY55" s="122">
        <f t="shared" si="67"/>
        <v>0.18953066282837566</v>
      </c>
      <c r="AZ55" s="100">
        <v>38990</v>
      </c>
      <c r="BA55" s="105">
        <f t="shared" si="68"/>
        <v>8.055817346746541E-2</v>
      </c>
      <c r="BB55" s="105">
        <f t="shared" si="69"/>
        <v>8.055817346746541E-2</v>
      </c>
      <c r="BC55" s="105">
        <f t="shared" si="70"/>
        <v>8.055817346746541E-2</v>
      </c>
      <c r="BD55" s="10"/>
      <c r="BE55" s="100">
        <v>38990</v>
      </c>
      <c r="BF55" s="105">
        <f t="shared" si="71"/>
        <v>8.9517896259666774E-2</v>
      </c>
      <c r="BG55" s="105">
        <f t="shared" si="72"/>
        <v>8.9517896259666774E-2</v>
      </c>
      <c r="BH55" s="105">
        <f t="shared" si="73"/>
        <v>8.9517896259666774E-2</v>
      </c>
      <c r="BI55" s="10"/>
      <c r="BJ55" s="10"/>
    </row>
    <row r="56" spans="1:62" ht="14.25" customHeight="1">
      <c r="A56" s="10" t="s">
        <v>95</v>
      </c>
      <c r="B56" s="10" t="s">
        <v>255</v>
      </c>
      <c r="C56" s="10" t="s">
        <v>256</v>
      </c>
      <c r="D56" s="10" t="s">
        <v>257</v>
      </c>
      <c r="E56" s="31">
        <v>340969000</v>
      </c>
      <c r="F56" s="39">
        <v>-0.2</v>
      </c>
      <c r="G56" s="40">
        <f t="shared" si="0"/>
        <v>-68193800</v>
      </c>
      <c r="H56" s="10"/>
      <c r="I56" s="10"/>
      <c r="J56" s="10"/>
      <c r="L56" s="340" t="s">
        <v>1015</v>
      </c>
      <c r="M56" s="339">
        <v>1995</v>
      </c>
      <c r="N56" s="339">
        <v>1996</v>
      </c>
      <c r="O56" s="339">
        <v>1997</v>
      </c>
      <c r="P56" s="339">
        <v>1998</v>
      </c>
      <c r="Q56" s="339">
        <v>1999</v>
      </c>
      <c r="R56" s="339">
        <v>2000</v>
      </c>
      <c r="S56" s="339">
        <v>2001</v>
      </c>
      <c r="T56" s="339">
        <v>2002</v>
      </c>
      <c r="U56" s="339">
        <v>2003</v>
      </c>
      <c r="V56" s="339">
        <v>2004</v>
      </c>
      <c r="W56" s="339">
        <v>2005</v>
      </c>
      <c r="X56" s="339">
        <v>2006</v>
      </c>
      <c r="Y56" s="339">
        <v>2007</v>
      </c>
      <c r="Z56" s="339">
        <v>2008</v>
      </c>
      <c r="AA56" s="339">
        <v>2009</v>
      </c>
      <c r="AB56" s="339">
        <v>2010</v>
      </c>
      <c r="AC56" s="339">
        <v>2011</v>
      </c>
      <c r="AD56" s="339">
        <v>2012</v>
      </c>
      <c r="AE56" s="339">
        <v>2013</v>
      </c>
      <c r="AF56" s="339">
        <v>2014</v>
      </c>
      <c r="AG56" s="339">
        <v>2015</v>
      </c>
      <c r="AH56" s="339">
        <v>2016</v>
      </c>
      <c r="AI56" s="339">
        <v>2017</v>
      </c>
      <c r="AJ56" s="339">
        <v>2018</v>
      </c>
      <c r="AK56" s="339">
        <v>2019</v>
      </c>
      <c r="AL56" s="339">
        <v>2020</v>
      </c>
      <c r="AM56" s="10"/>
      <c r="AN56" s="10"/>
      <c r="AO56" s="100">
        <v>39082</v>
      </c>
      <c r="AP56" s="101">
        <v>61210.1</v>
      </c>
      <c r="AQ56" s="6">
        <v>12658.120243570811</v>
      </c>
      <c r="AR56" s="103">
        <f t="shared" si="64"/>
        <v>73868.220243570802</v>
      </c>
      <c r="AS56" s="101">
        <v>61210.1</v>
      </c>
      <c r="AT56" s="6">
        <v>12658.120243570811</v>
      </c>
      <c r="AU56" s="103">
        <f t="shared" si="65"/>
        <v>73868.220243570802</v>
      </c>
      <c r="AV56" s="101">
        <v>61210.1</v>
      </c>
      <c r="AW56" s="6">
        <v>12658.120243570811</v>
      </c>
      <c r="AX56" s="103">
        <f t="shared" si="66"/>
        <v>73868.220243570802</v>
      </c>
      <c r="AY56" s="122">
        <f t="shared" si="67"/>
        <v>0.19123367740599964</v>
      </c>
      <c r="AZ56" s="100">
        <v>39082</v>
      </c>
      <c r="BA56" s="105">
        <f t="shared" si="68"/>
        <v>8.9771708557782492E-2</v>
      </c>
      <c r="BB56" s="105">
        <f t="shared" si="69"/>
        <v>8.9771708557782492E-2</v>
      </c>
      <c r="BC56" s="105">
        <f t="shared" si="70"/>
        <v>8.9771708557782492E-2</v>
      </c>
      <c r="BD56" s="10"/>
      <c r="BE56" s="100">
        <v>39082</v>
      </c>
      <c r="BF56" s="105">
        <f t="shared" si="71"/>
        <v>9.0476805449843267E-2</v>
      </c>
      <c r="BG56" s="105">
        <f t="shared" si="72"/>
        <v>9.0476805449843267E-2</v>
      </c>
      <c r="BH56" s="105">
        <f t="shared" si="73"/>
        <v>9.0476805449843267E-2</v>
      </c>
      <c r="BI56" s="10"/>
      <c r="BJ56" s="10"/>
    </row>
    <row r="57" spans="1:62" ht="14.25" customHeight="1">
      <c r="A57" s="10" t="s">
        <v>95</v>
      </c>
      <c r="B57" s="10" t="s">
        <v>255</v>
      </c>
      <c r="C57" s="10" t="s">
        <v>256</v>
      </c>
      <c r="D57" s="10" t="s">
        <v>267</v>
      </c>
      <c r="E57" s="31">
        <v>70071000</v>
      </c>
      <c r="F57" s="39">
        <v>-0.2</v>
      </c>
      <c r="G57" s="40">
        <f t="shared" si="0"/>
        <v>-14014200</v>
      </c>
      <c r="H57" s="10"/>
      <c r="I57" s="10"/>
      <c r="J57" s="10"/>
      <c r="L57" s="10" t="s">
        <v>1008</v>
      </c>
      <c r="M57" s="135">
        <f t="shared" ref="M57:AI57" si="78">M2</f>
        <v>6692.14652850939</v>
      </c>
      <c r="N57" s="135">
        <f t="shared" si="78"/>
        <v>7295.8345731815616</v>
      </c>
      <c r="O57" s="135">
        <f t="shared" si="78"/>
        <v>7760.5216337422607</v>
      </c>
      <c r="P57" s="135">
        <f t="shared" si="78"/>
        <v>8708.777156567643</v>
      </c>
      <c r="Q57" s="135">
        <f t="shared" si="78"/>
        <v>9081.1538675187167</v>
      </c>
      <c r="R57" s="135">
        <f t="shared" si="78"/>
        <v>8969.6206754221021</v>
      </c>
      <c r="S57" s="135">
        <f t="shared" si="78"/>
        <v>9630.5581958168441</v>
      </c>
      <c r="T57" s="135">
        <f t="shared" si="78"/>
        <v>10323.759481062994</v>
      </c>
      <c r="U57" s="135">
        <f t="shared" si="78"/>
        <v>9240.2151674265442</v>
      </c>
      <c r="V57" s="135">
        <f t="shared" si="78"/>
        <v>11194.747107598354</v>
      </c>
      <c r="W57" s="135">
        <f t="shared" si="78"/>
        <v>10540.38772804733</v>
      </c>
      <c r="X57" s="135">
        <f t="shared" si="78"/>
        <v>11836.555906432677</v>
      </c>
      <c r="Y57" s="135">
        <f t="shared" si="78"/>
        <v>12029.30918575278</v>
      </c>
      <c r="Z57" s="135">
        <f t="shared" si="78"/>
        <v>13800.412182701606</v>
      </c>
      <c r="AA57" s="135">
        <f t="shared" si="78"/>
        <v>13373.303477106065</v>
      </c>
      <c r="AB57" s="135">
        <f t="shared" si="78"/>
        <v>12158.857503092979</v>
      </c>
      <c r="AC57" s="135">
        <f t="shared" si="78"/>
        <v>12263.371853074932</v>
      </c>
      <c r="AD57" s="135">
        <f t="shared" si="78"/>
        <v>11039.279971272468</v>
      </c>
      <c r="AE57" s="135">
        <f t="shared" si="78"/>
        <v>11602.727646247509</v>
      </c>
      <c r="AF57" s="135">
        <f t="shared" si="78"/>
        <v>9900.7687625172348</v>
      </c>
      <c r="AG57" s="135">
        <f t="shared" si="78"/>
        <v>10227.931677629154</v>
      </c>
      <c r="AH57" s="135">
        <f t="shared" si="78"/>
        <v>10922.754333339015</v>
      </c>
      <c r="AI57" s="135">
        <f t="shared" si="78"/>
        <v>10757.485675</v>
      </c>
      <c r="AJ57" s="135">
        <f>SUM(AO4:AR4)/1000000</f>
        <v>10935.989307023205</v>
      </c>
      <c r="AK57" s="135">
        <f>SUM(AS4:AV4)/1000000</f>
        <v>11122.204390563737</v>
      </c>
      <c r="AL57" s="135">
        <f>SUM(AW4:AZ4)/1000000</f>
        <v>11122.204390563737</v>
      </c>
      <c r="AM57" s="10"/>
      <c r="AO57" s="100">
        <v>39172</v>
      </c>
      <c r="AP57" s="101">
        <v>62979</v>
      </c>
      <c r="AQ57" s="6">
        <v>10583.566373699563</v>
      </c>
      <c r="AR57" s="103">
        <f t="shared" si="64"/>
        <v>73562.566373699563</v>
      </c>
      <c r="AS57" s="101">
        <v>62979</v>
      </c>
      <c r="AT57" s="6">
        <v>10583.566373699563</v>
      </c>
      <c r="AU57" s="103">
        <f t="shared" si="65"/>
        <v>73562.566373699563</v>
      </c>
      <c r="AV57" s="101">
        <v>62979</v>
      </c>
      <c r="AW57" s="6">
        <v>10583.566373699563</v>
      </c>
      <c r="AX57" s="103">
        <f t="shared" si="66"/>
        <v>73562.566373699563</v>
      </c>
      <c r="AY57" s="122">
        <f t="shared" si="67"/>
        <v>0.1895779899307872</v>
      </c>
      <c r="AZ57" s="100">
        <v>39172</v>
      </c>
      <c r="BA57" s="105">
        <f t="shared" si="68"/>
        <v>9.8939060684487989E-2</v>
      </c>
      <c r="BB57" s="105">
        <f t="shared" si="69"/>
        <v>9.8939060684487989E-2</v>
      </c>
      <c r="BC57" s="105">
        <f t="shared" si="70"/>
        <v>9.8939060684487989E-2</v>
      </c>
      <c r="BD57" s="10"/>
      <c r="BE57" s="100">
        <v>39172</v>
      </c>
      <c r="BF57" s="105">
        <f t="shared" si="71"/>
        <v>8.8948135243772208E-2</v>
      </c>
      <c r="BG57" s="105">
        <f t="shared" si="72"/>
        <v>8.8948135243772208E-2</v>
      </c>
      <c r="BH57" s="105">
        <f t="shared" si="73"/>
        <v>8.8948135243772208E-2</v>
      </c>
      <c r="BI57" s="10"/>
      <c r="BJ57" s="10"/>
    </row>
    <row r="58" spans="1:62" ht="14.25" customHeight="1">
      <c r="A58" s="10" t="s">
        <v>95</v>
      </c>
      <c r="B58" s="10" t="s">
        <v>255</v>
      </c>
      <c r="C58" s="10" t="s">
        <v>256</v>
      </c>
      <c r="D58" s="10" t="s">
        <v>277</v>
      </c>
      <c r="E58" s="31">
        <v>205495000</v>
      </c>
      <c r="F58" s="39">
        <v>-0.2</v>
      </c>
      <c r="G58" s="40">
        <f t="shared" si="0"/>
        <v>-41099000</v>
      </c>
      <c r="H58" s="10"/>
      <c r="I58" s="10"/>
      <c r="J58" s="10"/>
      <c r="L58" s="10" t="s">
        <v>1009</v>
      </c>
      <c r="M58" s="135">
        <f t="shared" ref="M58:AI58" si="79">SUM(M3:M29)</f>
        <v>25665.838352878818</v>
      </c>
      <c r="N58" s="135">
        <f t="shared" si="79"/>
        <v>25813.830608197088</v>
      </c>
      <c r="O58" s="135">
        <f t="shared" si="79"/>
        <v>30109.492709820217</v>
      </c>
      <c r="P58" s="135">
        <f t="shared" si="79"/>
        <v>31427.10108367636</v>
      </c>
      <c r="Q58" s="135">
        <f t="shared" si="79"/>
        <v>32724.396569691948</v>
      </c>
      <c r="R58" s="135">
        <f t="shared" si="79"/>
        <v>36440.094756792489</v>
      </c>
      <c r="S58" s="135">
        <f t="shared" si="79"/>
        <v>37454.998068723376</v>
      </c>
      <c r="T58" s="135">
        <f t="shared" si="79"/>
        <v>39255.285230018031</v>
      </c>
      <c r="U58" s="135">
        <f t="shared" si="79"/>
        <v>42078.060117778732</v>
      </c>
      <c r="V58" s="135">
        <f t="shared" si="79"/>
        <v>46992.187788737712</v>
      </c>
      <c r="W58" s="135">
        <f t="shared" si="79"/>
        <v>48370.59906763256</v>
      </c>
      <c r="X58" s="135">
        <f t="shared" si="79"/>
        <v>51087.429084538162</v>
      </c>
      <c r="Y58" s="135">
        <f t="shared" si="79"/>
        <v>54202.283673749567</v>
      </c>
      <c r="Z58" s="135">
        <f t="shared" si="79"/>
        <v>56896.159650396003</v>
      </c>
      <c r="AA58" s="135">
        <f t="shared" si="79"/>
        <v>55416.154311107333</v>
      </c>
      <c r="AB58" s="135">
        <f t="shared" si="79"/>
        <v>55676.48794229365</v>
      </c>
      <c r="AC58" s="135">
        <f t="shared" si="79"/>
        <v>58227.293344136306</v>
      </c>
      <c r="AD58" s="135">
        <f t="shared" si="79"/>
        <v>58649.994462600349</v>
      </c>
      <c r="AE58" s="135">
        <f t="shared" si="79"/>
        <v>57003.174541540218</v>
      </c>
      <c r="AF58" s="135">
        <f t="shared" si="79"/>
        <v>57839.899516023579</v>
      </c>
      <c r="AG58" s="135">
        <f t="shared" si="79"/>
        <v>58436.969739518812</v>
      </c>
      <c r="AH58" s="135">
        <f t="shared" si="79"/>
        <v>60143.097722526079</v>
      </c>
      <c r="AI58" s="135">
        <f t="shared" si="79"/>
        <v>61128.337861</v>
      </c>
      <c r="AJ58" s="135">
        <f>SUM(AO5:AR8)/1000000</f>
        <v>61987.234205845132</v>
      </c>
      <c r="AK58" s="135">
        <f>SUM(AS5:AV8)/1000000</f>
        <v>62933.299934852577</v>
      </c>
      <c r="AL58" s="135">
        <f>SUM(AW5:AZ8)/1000000</f>
        <v>55839.72153016019</v>
      </c>
      <c r="AM58" s="10"/>
      <c r="AO58" s="100">
        <v>39263</v>
      </c>
      <c r="AP58" s="101">
        <v>68387.199999999997</v>
      </c>
      <c r="AQ58" s="6">
        <v>12745.191961181008</v>
      </c>
      <c r="AR58" s="103">
        <f t="shared" si="64"/>
        <v>81132.391961181012</v>
      </c>
      <c r="AS58" s="101">
        <v>68387.199999999997</v>
      </c>
      <c r="AT58" s="6">
        <v>12745.191961181008</v>
      </c>
      <c r="AU58" s="103">
        <f t="shared" si="65"/>
        <v>81132.391961181012</v>
      </c>
      <c r="AV58" s="101">
        <v>68387.199999999997</v>
      </c>
      <c r="AW58" s="6">
        <v>12745.191961181008</v>
      </c>
      <c r="AX58" s="103">
        <f t="shared" si="66"/>
        <v>81132.391961181012</v>
      </c>
      <c r="AY58" s="122">
        <f t="shared" si="67"/>
        <v>0.18843625780727918</v>
      </c>
      <c r="AZ58" s="100">
        <v>39263</v>
      </c>
      <c r="BA58" s="105">
        <f t="shared" si="68"/>
        <v>9.9329708228184987E-2</v>
      </c>
      <c r="BB58" s="105">
        <f t="shared" si="69"/>
        <v>9.9329708228184987E-2</v>
      </c>
      <c r="BC58" s="105">
        <f t="shared" si="70"/>
        <v>9.9329708228184987E-2</v>
      </c>
      <c r="BD58" s="10"/>
      <c r="BE58" s="100">
        <v>39263</v>
      </c>
      <c r="BF58" s="105">
        <f t="shared" si="71"/>
        <v>9.2032014429120457E-2</v>
      </c>
      <c r="BG58" s="105">
        <f t="shared" si="72"/>
        <v>9.2032014429120457E-2</v>
      </c>
      <c r="BH58" s="105">
        <f t="shared" si="73"/>
        <v>9.2032014429120457E-2</v>
      </c>
      <c r="BI58" s="10"/>
      <c r="BJ58" s="10"/>
    </row>
    <row r="59" spans="1:62" ht="14.25" customHeight="1">
      <c r="A59" s="10" t="s">
        <v>95</v>
      </c>
      <c r="B59" s="10" t="s">
        <v>279</v>
      </c>
      <c r="C59" s="10" t="s">
        <v>280</v>
      </c>
      <c r="D59" s="10" t="s">
        <v>281</v>
      </c>
      <c r="E59" s="31">
        <v>38884000</v>
      </c>
      <c r="F59" s="39">
        <v>0</v>
      </c>
      <c r="G59" s="40">
        <f t="shared" si="0"/>
        <v>0</v>
      </c>
      <c r="H59" s="10"/>
      <c r="I59" s="10"/>
      <c r="J59" s="10"/>
      <c r="L59" s="10" t="s">
        <v>1010</v>
      </c>
      <c r="M59" s="135">
        <f t="shared" ref="M59:AI59" si="80">M30</f>
        <v>5740.4519571575911</v>
      </c>
      <c r="N59" s="135">
        <f t="shared" si="80"/>
        <v>7402.5391547863219</v>
      </c>
      <c r="O59" s="135">
        <f t="shared" si="80"/>
        <v>9219.3568276528149</v>
      </c>
      <c r="P59" s="135">
        <f t="shared" si="80"/>
        <v>9377.3424700431842</v>
      </c>
      <c r="Q59" s="135">
        <f t="shared" si="80"/>
        <v>7650.7179555611756</v>
      </c>
      <c r="R59" s="135">
        <f t="shared" si="80"/>
        <v>7252.5269248929562</v>
      </c>
      <c r="S59" s="135">
        <f t="shared" si="80"/>
        <v>8717.4919942140114</v>
      </c>
      <c r="T59" s="135">
        <f t="shared" si="80"/>
        <v>10169.620527952618</v>
      </c>
      <c r="U59" s="135">
        <f t="shared" si="80"/>
        <v>13655.266575740619</v>
      </c>
      <c r="V59" s="135">
        <f t="shared" si="80"/>
        <v>15751.62385644909</v>
      </c>
      <c r="W59" s="135">
        <f t="shared" si="80"/>
        <v>17581.290860650955</v>
      </c>
      <c r="X59" s="135">
        <f t="shared" si="80"/>
        <v>19829.165255497541</v>
      </c>
      <c r="Y59" s="135">
        <f t="shared" si="80"/>
        <v>22108.947992631674</v>
      </c>
      <c r="Z59" s="135">
        <f t="shared" si="80"/>
        <v>24921.797321753409</v>
      </c>
      <c r="AA59" s="135">
        <f t="shared" si="80"/>
        <v>22602.079696506469</v>
      </c>
      <c r="AB59" s="135">
        <f t="shared" si="80"/>
        <v>17237.038869302713</v>
      </c>
      <c r="AC59" s="135">
        <f t="shared" si="80"/>
        <v>16158.275544303388</v>
      </c>
      <c r="AD59" s="135">
        <f t="shared" si="80"/>
        <v>14026.769521646233</v>
      </c>
      <c r="AE59" s="135">
        <f t="shared" si="80"/>
        <v>13812.614421779686</v>
      </c>
      <c r="AF59" s="135">
        <f t="shared" si="80"/>
        <v>13726.251024339175</v>
      </c>
      <c r="AG59" s="135">
        <f t="shared" si="80"/>
        <v>14138.112338595689</v>
      </c>
      <c r="AH59" s="135">
        <f t="shared" si="80"/>
        <v>14509.399365002906</v>
      </c>
      <c r="AI59" s="135">
        <f t="shared" si="80"/>
        <v>15253.23893</v>
      </c>
      <c r="AJ59" s="135">
        <f>SUM(AO9:AR9)/1000000</f>
        <v>16248.605083272478</v>
      </c>
      <c r="AK59" s="135">
        <f>SUM(AS9:AV9)/1000000</f>
        <v>17777.279345781419</v>
      </c>
      <c r="AL59" s="135">
        <f>SUM(AW9:AZ9)/1000000</f>
        <v>14667.637563896626</v>
      </c>
      <c r="AM59" s="10"/>
      <c r="AO59" s="100">
        <v>39355</v>
      </c>
      <c r="AP59" s="101">
        <v>73694.7</v>
      </c>
      <c r="AQ59" s="6">
        <v>13561.662398651029</v>
      </c>
      <c r="AR59" s="103">
        <f t="shared" si="64"/>
        <v>87256.362398651021</v>
      </c>
      <c r="AS59" s="101">
        <v>73694.7</v>
      </c>
      <c r="AT59" s="6">
        <v>13561.662398651029</v>
      </c>
      <c r="AU59" s="103">
        <f t="shared" si="65"/>
        <v>87256.362398651021</v>
      </c>
      <c r="AV59" s="101">
        <v>73694.7</v>
      </c>
      <c r="AW59" s="6">
        <v>13561.662398651029</v>
      </c>
      <c r="AX59" s="103">
        <f t="shared" si="66"/>
        <v>87256.362398651021</v>
      </c>
      <c r="AY59" s="122">
        <f t="shared" si="67"/>
        <v>0.18608312950754086</v>
      </c>
      <c r="AZ59" s="100">
        <v>39355</v>
      </c>
      <c r="BA59" s="105">
        <f t="shared" si="68"/>
        <v>9.29544140674885E-2</v>
      </c>
      <c r="BB59" s="105">
        <f t="shared" si="69"/>
        <v>9.29544140674885E-2</v>
      </c>
      <c r="BC59" s="105">
        <f t="shared" si="70"/>
        <v>9.29544140674885E-2</v>
      </c>
      <c r="BD59" s="10"/>
      <c r="BE59" s="100">
        <v>39355</v>
      </c>
      <c r="BF59" s="105">
        <f t="shared" si="71"/>
        <v>9.5227211495497288E-2</v>
      </c>
      <c r="BG59" s="105">
        <f t="shared" si="72"/>
        <v>9.5227211495497288E-2</v>
      </c>
      <c r="BH59" s="105">
        <f t="shared" si="73"/>
        <v>9.5227211495497288E-2</v>
      </c>
      <c r="BI59" s="10"/>
      <c r="BJ59" s="10"/>
    </row>
    <row r="60" spans="1:62" ht="14.25" customHeight="1">
      <c r="A60" s="10" t="s">
        <v>95</v>
      </c>
      <c r="B60" s="10" t="s">
        <v>279</v>
      </c>
      <c r="C60" s="10" t="s">
        <v>280</v>
      </c>
      <c r="D60" s="10" t="s">
        <v>282</v>
      </c>
      <c r="E60" s="31">
        <v>1162273000</v>
      </c>
      <c r="F60" s="39">
        <v>-0.7</v>
      </c>
      <c r="G60" s="40">
        <f t="shared" si="0"/>
        <v>-813591100</v>
      </c>
      <c r="H60" s="10"/>
      <c r="I60" s="10"/>
      <c r="J60" s="10"/>
      <c r="L60" s="10" t="s">
        <v>1011</v>
      </c>
      <c r="M60" s="135">
        <f>M31</f>
        <v>12975.192014188478</v>
      </c>
      <c r="N60" s="135">
        <f t="shared" ref="M60:AI60" si="81">N31</f>
        <v>14978.148014617695</v>
      </c>
      <c r="O60" s="135">
        <f t="shared" si="81"/>
        <v>17323.382958341765</v>
      </c>
      <c r="P60" s="135">
        <f t="shared" si="81"/>
        <v>17955.693910968497</v>
      </c>
      <c r="Q60" s="135">
        <f t="shared" si="81"/>
        <v>15680.109242359311</v>
      </c>
      <c r="R60" s="135">
        <f t="shared" si="81"/>
        <v>16531.512270915187</v>
      </c>
      <c r="S60" s="135">
        <f t="shared" si="81"/>
        <v>19818.861039872962</v>
      </c>
      <c r="T60" s="135">
        <f t="shared" si="81"/>
        <v>22988.887081429031</v>
      </c>
      <c r="U60" s="135">
        <f t="shared" si="81"/>
        <v>26984.520871707773</v>
      </c>
      <c r="V60" s="135">
        <f t="shared" si="81"/>
        <v>26586.270073432926</v>
      </c>
      <c r="W60" s="135">
        <f t="shared" si="81"/>
        <v>29348.840500805622</v>
      </c>
      <c r="X60" s="135">
        <f t="shared" si="81"/>
        <v>32729.155435464629</v>
      </c>
      <c r="Y60" s="135">
        <f t="shared" si="81"/>
        <v>34981.083634642899</v>
      </c>
      <c r="Z60" s="135">
        <f t="shared" si="81"/>
        <v>37865.821197250109</v>
      </c>
      <c r="AA60" s="135">
        <f t="shared" si="81"/>
        <v>32325.008662617925</v>
      </c>
      <c r="AB60" s="135">
        <f t="shared" si="81"/>
        <v>33331.915978570498</v>
      </c>
      <c r="AC60" s="135">
        <f t="shared" si="81"/>
        <v>34049.920009524896</v>
      </c>
      <c r="AD60" s="135">
        <f t="shared" si="81"/>
        <v>33507.907069323082</v>
      </c>
      <c r="AE60" s="135">
        <f t="shared" si="81"/>
        <v>32806.983339874285</v>
      </c>
      <c r="AF60" s="135">
        <f t="shared" si="81"/>
        <v>32894.209304712553</v>
      </c>
      <c r="AG60" s="135">
        <f t="shared" si="81"/>
        <v>34758.403294220581</v>
      </c>
      <c r="AH60" s="135">
        <f t="shared" si="81"/>
        <v>34383.211802443067</v>
      </c>
      <c r="AI60" s="135">
        <f t="shared" si="81"/>
        <v>36158.656210000001</v>
      </c>
      <c r="AJ60" s="135">
        <f>SUM(AO10:AR10)/1000000</f>
        <v>38475.565968621777</v>
      </c>
      <c r="AK60" s="135">
        <f>SUM(AS10:AV10)/1000000</f>
        <v>40543.996423282428</v>
      </c>
      <c r="AL60" s="135">
        <f>SUM(AW10:AZ10)/1000000</f>
        <v>33025.106297163984</v>
      </c>
      <c r="AM60" s="10"/>
      <c r="AO60" s="100">
        <v>39447</v>
      </c>
      <c r="AP60" s="101">
        <v>67519.7</v>
      </c>
      <c r="AQ60" s="6">
        <v>13320.210526310391</v>
      </c>
      <c r="AR60" s="103">
        <f t="shared" si="64"/>
        <v>80839.910526310385</v>
      </c>
      <c r="AS60" s="101">
        <v>67519.7</v>
      </c>
      <c r="AT60" s="6">
        <v>13320.210526310391</v>
      </c>
      <c r="AU60" s="103">
        <f t="shared" si="65"/>
        <v>80839.910526310385</v>
      </c>
      <c r="AV60" s="101">
        <v>67519.7</v>
      </c>
      <c r="AW60" s="6">
        <v>13320.210526310391</v>
      </c>
      <c r="AX60" s="103">
        <f t="shared" si="66"/>
        <v>80839.910526310385</v>
      </c>
      <c r="AY60" s="122">
        <f t="shared" si="67"/>
        <v>0.18420471324753845</v>
      </c>
      <c r="AZ60" s="100">
        <v>39447</v>
      </c>
      <c r="BA60" s="105">
        <f t="shared" si="68"/>
        <v>9.4380103646078739E-2</v>
      </c>
      <c r="BB60" s="105">
        <f t="shared" si="69"/>
        <v>9.4380103646078739E-2</v>
      </c>
      <c r="BC60" s="105">
        <f t="shared" si="70"/>
        <v>9.4380103646078739E-2</v>
      </c>
      <c r="BD60" s="10"/>
      <c r="BE60" s="100">
        <v>39447</v>
      </c>
      <c r="BF60" s="105">
        <f t="shared" si="71"/>
        <v>9.6270588985010175E-2</v>
      </c>
      <c r="BG60" s="105">
        <f t="shared" si="72"/>
        <v>9.6270588985010175E-2</v>
      </c>
      <c r="BH60" s="105">
        <f t="shared" si="73"/>
        <v>9.6270588985010175E-2</v>
      </c>
      <c r="BI60" s="10"/>
      <c r="BJ60" s="10"/>
    </row>
    <row r="61" spans="1:62" ht="14.25" customHeight="1">
      <c r="A61" s="10" t="s">
        <v>95</v>
      </c>
      <c r="B61" s="10" t="s">
        <v>279</v>
      </c>
      <c r="C61" s="10" t="s">
        <v>280</v>
      </c>
      <c r="D61" s="10" t="s">
        <v>284</v>
      </c>
      <c r="E61" s="31">
        <v>116981000</v>
      </c>
      <c r="F61" s="39">
        <v>-0.7</v>
      </c>
      <c r="G61" s="40">
        <f t="shared" si="0"/>
        <v>-81886700</v>
      </c>
      <c r="H61" s="10"/>
      <c r="I61" s="10"/>
      <c r="J61" s="10"/>
      <c r="L61" s="10" t="s">
        <v>429</v>
      </c>
      <c r="M61" s="135">
        <f t="shared" ref="M61:AI61" si="82">SUM(M32:M34,M37:M38,M42:M44)</f>
        <v>18596.863354452977</v>
      </c>
      <c r="N61" s="135">
        <f t="shared" si="82"/>
        <v>20527.734615796588</v>
      </c>
      <c r="O61" s="135">
        <f t="shared" si="82"/>
        <v>23702.172053095623</v>
      </c>
      <c r="P61" s="135">
        <f t="shared" si="82"/>
        <v>25408.73153499508</v>
      </c>
      <c r="Q61" s="135">
        <f t="shared" si="82"/>
        <v>26794.685850790374</v>
      </c>
      <c r="R61" s="135">
        <f t="shared" si="82"/>
        <v>30534.001546769141</v>
      </c>
      <c r="S61" s="135">
        <f t="shared" si="82"/>
        <v>34528.444852575754</v>
      </c>
      <c r="T61" s="135">
        <f t="shared" si="82"/>
        <v>39576.051244775983</v>
      </c>
      <c r="U61" s="135">
        <f t="shared" si="82"/>
        <v>44621.530696788941</v>
      </c>
      <c r="V61" s="135">
        <f t="shared" si="82"/>
        <v>48888.330539094</v>
      </c>
      <c r="W61" s="135">
        <f t="shared" si="82"/>
        <v>54633.694298352726</v>
      </c>
      <c r="X61" s="135">
        <f t="shared" si="82"/>
        <v>60611.990694681597</v>
      </c>
      <c r="Y61" s="135">
        <f t="shared" si="82"/>
        <v>68225.836666135743</v>
      </c>
      <c r="Z61" s="135">
        <f t="shared" si="82"/>
        <v>74255.031777163545</v>
      </c>
      <c r="AA61" s="135">
        <f t="shared" si="82"/>
        <v>70919.656189934176</v>
      </c>
      <c r="AB61" s="135">
        <f t="shared" si="82"/>
        <v>71274.395374502899</v>
      </c>
      <c r="AC61" s="135">
        <f t="shared" si="82"/>
        <v>71987.082922967282</v>
      </c>
      <c r="AD61" s="135">
        <f t="shared" si="82"/>
        <v>71499.428295814869</v>
      </c>
      <c r="AE61" s="135">
        <f t="shared" si="82"/>
        <v>73498.950431174191</v>
      </c>
      <c r="AF61" s="135">
        <f t="shared" si="82"/>
        <v>73764.321054140324</v>
      </c>
      <c r="AG61" s="135">
        <f t="shared" si="82"/>
        <v>75048.853246341459</v>
      </c>
      <c r="AH61" s="135">
        <f t="shared" si="82"/>
        <v>79717.790512766995</v>
      </c>
      <c r="AI61" s="135">
        <f t="shared" si="82"/>
        <v>85179.675057</v>
      </c>
      <c r="AJ61" s="135">
        <f>(SUM(AO11:AR13)+SUM(AO16:AR17)+SUM(AO21:AR23))/1000000</f>
        <v>89488.096818547288</v>
      </c>
      <c r="AK61" s="135">
        <f>(SUM(AS11:AV13)+SUM(AS16:AV17)+SUM(AS21:AV23))/1000000</f>
        <v>94248.619386235121</v>
      </c>
      <c r="AL61" s="135">
        <f>(SUM(AW11:AZ13)+SUM(AW16:AZ17)+SUM(AW21:AZ23))/1000000</f>
        <v>60928.593558162946</v>
      </c>
      <c r="AM61" s="10"/>
      <c r="AO61" s="100">
        <v>39538</v>
      </c>
      <c r="AP61" s="101">
        <v>67783</v>
      </c>
      <c r="AQ61" s="6">
        <v>11637.839725087928</v>
      </c>
      <c r="AR61" s="103">
        <f t="shared" si="64"/>
        <v>79420.839725087921</v>
      </c>
      <c r="AS61" s="101">
        <v>67783</v>
      </c>
      <c r="AT61" s="6">
        <v>11637.839725087928</v>
      </c>
      <c r="AU61" s="103">
        <f t="shared" si="65"/>
        <v>79420.839725087921</v>
      </c>
      <c r="AV61" s="101">
        <v>67783</v>
      </c>
      <c r="AW61" s="6">
        <v>11637.839725087928</v>
      </c>
      <c r="AX61" s="103">
        <f t="shared" si="66"/>
        <v>79420.839725087921</v>
      </c>
      <c r="AY61" s="122">
        <f t="shared" si="67"/>
        <v>0.18481525150001246</v>
      </c>
      <c r="AZ61" s="100">
        <v>39538</v>
      </c>
      <c r="BA61" s="105">
        <f t="shared" si="68"/>
        <v>7.9636609218174836E-2</v>
      </c>
      <c r="BB61" s="105">
        <f t="shared" si="69"/>
        <v>7.9636609218174836E-2</v>
      </c>
      <c r="BC61" s="105">
        <f t="shared" si="70"/>
        <v>7.9636609218174836E-2</v>
      </c>
      <c r="BD61" s="10"/>
      <c r="BE61" s="100">
        <v>39538</v>
      </c>
      <c r="BF61" s="105">
        <f t="shared" si="71"/>
        <v>9.1612951231289097E-2</v>
      </c>
      <c r="BG61" s="105">
        <f t="shared" si="72"/>
        <v>9.1612951231289097E-2</v>
      </c>
      <c r="BH61" s="105">
        <f t="shared" si="73"/>
        <v>9.1612951231289097E-2</v>
      </c>
      <c r="BI61" s="10"/>
      <c r="BJ61" s="10"/>
    </row>
    <row r="62" spans="1:62" ht="14.25" customHeight="1">
      <c r="A62" s="10" t="s">
        <v>95</v>
      </c>
      <c r="B62" s="10" t="s">
        <v>279</v>
      </c>
      <c r="C62" s="10" t="s">
        <v>280</v>
      </c>
      <c r="D62" s="10" t="s">
        <v>285</v>
      </c>
      <c r="E62" s="31">
        <v>12751000</v>
      </c>
      <c r="F62" s="39">
        <v>-0.7</v>
      </c>
      <c r="G62" s="40">
        <f t="shared" si="0"/>
        <v>-8925700</v>
      </c>
      <c r="H62" s="10"/>
      <c r="I62" s="10"/>
      <c r="J62" s="10"/>
      <c r="L62" s="10" t="s">
        <v>1012</v>
      </c>
      <c r="M62" s="135">
        <f t="shared" ref="M62:AI62" si="83">M35</f>
        <v>4004.5051547966714</v>
      </c>
      <c r="N62" s="135">
        <f t="shared" si="83"/>
        <v>5241.5963571517887</v>
      </c>
      <c r="O62" s="135">
        <f t="shared" si="83"/>
        <v>4847.9560885334895</v>
      </c>
      <c r="P62" s="135">
        <f t="shared" si="83"/>
        <v>5258.4188195912329</v>
      </c>
      <c r="Q62" s="135">
        <f t="shared" si="83"/>
        <v>7002.1944651579934</v>
      </c>
      <c r="R62" s="135">
        <f t="shared" si="83"/>
        <v>6549.6977520729743</v>
      </c>
      <c r="S62" s="135">
        <f t="shared" si="83"/>
        <v>7670.4606135004424</v>
      </c>
      <c r="T62" s="135">
        <f t="shared" si="83"/>
        <v>8728.3286133461588</v>
      </c>
      <c r="U62" s="135">
        <f t="shared" si="83"/>
        <v>10622.551327828143</v>
      </c>
      <c r="V62" s="135">
        <f t="shared" si="83"/>
        <v>11110.791730440647</v>
      </c>
      <c r="W62" s="135">
        <f t="shared" si="83"/>
        <v>13610.32535911941</v>
      </c>
      <c r="X62" s="135">
        <f t="shared" si="83"/>
        <v>14429.227370221754</v>
      </c>
      <c r="Y62" s="135">
        <f t="shared" si="83"/>
        <v>16697.31819784889</v>
      </c>
      <c r="Z62" s="135">
        <f t="shared" si="83"/>
        <v>18312.243432295756</v>
      </c>
      <c r="AA62" s="135">
        <f t="shared" si="83"/>
        <v>18465.282658909484</v>
      </c>
      <c r="AB62" s="135">
        <f t="shared" si="83"/>
        <v>19244.890096628023</v>
      </c>
      <c r="AC62" s="135">
        <f t="shared" si="83"/>
        <v>20541.418040433295</v>
      </c>
      <c r="AD62" s="135">
        <f t="shared" si="83"/>
        <v>18767.005724078768</v>
      </c>
      <c r="AE62" s="135">
        <f t="shared" si="83"/>
        <v>17706.775960166564</v>
      </c>
      <c r="AF62" s="135">
        <f t="shared" si="83"/>
        <v>18185.149709613735</v>
      </c>
      <c r="AG62" s="135">
        <f t="shared" si="83"/>
        <v>17994.579785865757</v>
      </c>
      <c r="AH62" s="135">
        <f t="shared" si="83"/>
        <v>18459.561556743789</v>
      </c>
      <c r="AI62" s="135">
        <f t="shared" si="83"/>
        <v>19152.655332999999</v>
      </c>
      <c r="AJ62" s="135">
        <f>SUM(AO14:AR14)/1000000</f>
        <v>19491.886036351443</v>
      </c>
      <c r="AK62" s="135">
        <f>SUM(AS14:AV14)/1000000</f>
        <v>20047.201365209439</v>
      </c>
      <c r="AL62" s="135">
        <f>SUM(AW14:AZ14)/1000000</f>
        <v>18882.659107174182</v>
      </c>
      <c r="AM62" s="10"/>
      <c r="AO62" s="100">
        <v>39629</v>
      </c>
      <c r="AP62" s="101">
        <v>74422.399999999994</v>
      </c>
      <c r="AQ62" s="6">
        <v>13844.316560504776</v>
      </c>
      <c r="AR62" s="103">
        <f t="shared" si="64"/>
        <v>88266.716560504778</v>
      </c>
      <c r="AS62" s="101">
        <v>74422.399999999994</v>
      </c>
      <c r="AT62" s="6">
        <v>13844.316560504776</v>
      </c>
      <c r="AU62" s="103">
        <f t="shared" si="65"/>
        <v>88266.716560504778</v>
      </c>
      <c r="AV62" s="101">
        <v>74422.399999999994</v>
      </c>
      <c r="AW62" s="6">
        <v>13844.316560504776</v>
      </c>
      <c r="AX62" s="103">
        <f t="shared" si="66"/>
        <v>88266.716560504778</v>
      </c>
      <c r="AY62" s="122">
        <f t="shared" si="67"/>
        <v>0.18475783699852347</v>
      </c>
      <c r="AZ62" s="100">
        <v>39629</v>
      </c>
      <c r="BA62" s="105">
        <f t="shared" si="68"/>
        <v>8.7934355525192576E-2</v>
      </c>
      <c r="BB62" s="105">
        <f t="shared" si="69"/>
        <v>8.7934355525192576E-2</v>
      </c>
      <c r="BC62" s="105">
        <f t="shared" si="70"/>
        <v>8.7934355525192576E-2</v>
      </c>
      <c r="BD62" s="10"/>
      <c r="BE62" s="100">
        <v>39629</v>
      </c>
      <c r="BF62" s="105">
        <f t="shared" si="71"/>
        <v>8.8798530929267594E-2</v>
      </c>
      <c r="BG62" s="105">
        <f t="shared" si="72"/>
        <v>8.8798530929267594E-2</v>
      </c>
      <c r="BH62" s="105">
        <f t="shared" si="73"/>
        <v>8.8798530929267594E-2</v>
      </c>
      <c r="BI62" s="10"/>
      <c r="BJ62" s="10"/>
    </row>
    <row r="63" spans="1:62" ht="14.25" customHeight="1">
      <c r="A63" s="10" t="s">
        <v>95</v>
      </c>
      <c r="B63" s="10" t="s">
        <v>279</v>
      </c>
      <c r="C63" s="10" t="s">
        <v>286</v>
      </c>
      <c r="D63" s="10" t="s">
        <v>286</v>
      </c>
      <c r="E63" s="31">
        <v>7174000</v>
      </c>
      <c r="F63" s="39">
        <v>-0.7</v>
      </c>
      <c r="G63" s="40">
        <f t="shared" si="0"/>
        <v>-5021800</v>
      </c>
      <c r="H63" s="10"/>
      <c r="I63" s="10"/>
      <c r="J63" s="10"/>
      <c r="L63" s="10" t="s">
        <v>1013</v>
      </c>
      <c r="M63" s="135">
        <f t="shared" ref="M63:AI63" si="84">M36</f>
        <v>9995.2712325471457</v>
      </c>
      <c r="N63" s="135">
        <f t="shared" si="84"/>
        <v>10643.484984250052</v>
      </c>
      <c r="O63" s="135">
        <f t="shared" si="84"/>
        <v>11261.274430867315</v>
      </c>
      <c r="P63" s="135">
        <f t="shared" si="84"/>
        <v>12257.965222776291</v>
      </c>
      <c r="Q63" s="135">
        <f t="shared" si="84"/>
        <v>13243.26244238085</v>
      </c>
      <c r="R63" s="135">
        <f t="shared" si="84"/>
        <v>13866.080655049243</v>
      </c>
      <c r="S63" s="135">
        <f t="shared" si="84"/>
        <v>14580.428987572117</v>
      </c>
      <c r="T63" s="135">
        <f t="shared" si="84"/>
        <v>15631.941581525509</v>
      </c>
      <c r="U63" s="135">
        <f t="shared" si="84"/>
        <v>16893.05546079914</v>
      </c>
      <c r="V63" s="135">
        <f t="shared" si="84"/>
        <v>18144.125760746298</v>
      </c>
      <c r="W63" s="135">
        <f t="shared" si="84"/>
        <v>19585.039337253867</v>
      </c>
      <c r="X63" s="135">
        <f t="shared" si="84"/>
        <v>21388.921572768304</v>
      </c>
      <c r="Y63" s="135">
        <f t="shared" si="84"/>
        <v>25466.62008937493</v>
      </c>
      <c r="Z63" s="135">
        <f t="shared" si="84"/>
        <v>26164.436954316687</v>
      </c>
      <c r="AA63" s="135">
        <f t="shared" si="84"/>
        <v>26261.723135724864</v>
      </c>
      <c r="AB63" s="135">
        <f t="shared" si="84"/>
        <v>25937.401835844787</v>
      </c>
      <c r="AC63" s="135">
        <f t="shared" si="84"/>
        <v>27130.602162247102</v>
      </c>
      <c r="AD63" s="135">
        <f t="shared" si="84"/>
        <v>27268.43001666624</v>
      </c>
      <c r="AE63" s="135">
        <f t="shared" si="84"/>
        <v>27153.706529289324</v>
      </c>
      <c r="AF63" s="135">
        <f t="shared" si="84"/>
        <v>27535.539709805445</v>
      </c>
      <c r="AG63" s="135">
        <f t="shared" si="84"/>
        <v>27929.05599675938</v>
      </c>
      <c r="AH63" s="135">
        <f t="shared" si="84"/>
        <v>28237.886091866265</v>
      </c>
      <c r="AI63" s="135">
        <f t="shared" si="84"/>
        <v>28719.414083</v>
      </c>
      <c r="AJ63" s="135">
        <f>SUM(AO15:AR15)/1000000</f>
        <v>29415.894097456989</v>
      </c>
      <c r="AK63" s="135">
        <f>SUM(AS15:AV15)/1000000</f>
        <v>30120.417246928686</v>
      </c>
      <c r="AL63" s="135">
        <f>SUM(AW15:AZ15)/1000000</f>
        <v>17884.26477039099</v>
      </c>
      <c r="AM63" s="10"/>
      <c r="AO63" s="100">
        <v>39721</v>
      </c>
      <c r="AP63" s="101">
        <v>79492.600000000006</v>
      </c>
      <c r="AQ63" s="6">
        <v>15069.655090390319</v>
      </c>
      <c r="AR63" s="103">
        <f t="shared" si="64"/>
        <v>94562.255090390332</v>
      </c>
      <c r="AS63" s="101">
        <v>79492.600000000006</v>
      </c>
      <c r="AT63" s="6">
        <v>15069.655090390319</v>
      </c>
      <c r="AU63" s="103">
        <f t="shared" si="65"/>
        <v>94562.255090390332</v>
      </c>
      <c r="AV63" s="101">
        <v>79492.600000000006</v>
      </c>
      <c r="AW63" s="6">
        <v>15069.655090390319</v>
      </c>
      <c r="AX63" s="103">
        <f t="shared" si="66"/>
        <v>94562.255090390332</v>
      </c>
      <c r="AY63" s="122">
        <f t="shared" si="67"/>
        <v>0.18626806693467726</v>
      </c>
      <c r="AZ63" s="100">
        <v>39721</v>
      </c>
      <c r="BA63" s="105">
        <f t="shared" si="68"/>
        <v>8.3729054144620951E-2</v>
      </c>
      <c r="BB63" s="105">
        <f t="shared" si="69"/>
        <v>8.3729054144620951E-2</v>
      </c>
      <c r="BC63" s="105">
        <f t="shared" si="70"/>
        <v>8.3729054144620951E-2</v>
      </c>
      <c r="BD63" s="10"/>
      <c r="BE63" s="100">
        <v>39721</v>
      </c>
      <c r="BF63" s="105">
        <f t="shared" si="71"/>
        <v>8.6347351531259831E-2</v>
      </c>
      <c r="BG63" s="105">
        <f t="shared" si="72"/>
        <v>8.6347351531259831E-2</v>
      </c>
      <c r="BH63" s="105">
        <f t="shared" si="73"/>
        <v>8.6347351531259831E-2</v>
      </c>
      <c r="BI63" s="10"/>
      <c r="BJ63" s="10"/>
    </row>
    <row r="64" spans="1:62" ht="14.25" customHeight="1">
      <c r="A64" s="10" t="s">
        <v>95</v>
      </c>
      <c r="B64" s="10" t="s">
        <v>288</v>
      </c>
      <c r="C64" s="10" t="s">
        <v>289</v>
      </c>
      <c r="D64" s="10" t="s">
        <v>290</v>
      </c>
      <c r="E64" s="31">
        <v>116299000</v>
      </c>
      <c r="F64" s="39">
        <v>-0.3</v>
      </c>
      <c r="G64" s="40">
        <f t="shared" si="0"/>
        <v>-34889700</v>
      </c>
      <c r="H64" s="10"/>
      <c r="I64" s="10"/>
      <c r="J64" s="10"/>
      <c r="L64" s="10" t="s">
        <v>1014</v>
      </c>
      <c r="M64" s="135">
        <f t="shared" ref="M64:AI64" si="85">SUM(M39:M41)</f>
        <v>13495.163444340073</v>
      </c>
      <c r="N64" s="135">
        <f t="shared" si="85"/>
        <v>16292.333456736851</v>
      </c>
      <c r="O64" s="135">
        <f t="shared" si="85"/>
        <v>19070.969879528893</v>
      </c>
      <c r="P64" s="135">
        <f t="shared" si="85"/>
        <v>23786.50696414366</v>
      </c>
      <c r="Q64" s="135">
        <f t="shared" si="85"/>
        <v>26313.285465014687</v>
      </c>
      <c r="R64" s="135">
        <f t="shared" si="85"/>
        <v>27679.224458722885</v>
      </c>
      <c r="S64" s="135">
        <f t="shared" si="85"/>
        <v>26956.545678037324</v>
      </c>
      <c r="T64" s="135">
        <f t="shared" si="85"/>
        <v>27925.231760102113</v>
      </c>
      <c r="U64" s="135">
        <f t="shared" si="85"/>
        <v>29840.298806531129</v>
      </c>
      <c r="V64" s="135">
        <f t="shared" si="85"/>
        <v>32230.425186846136</v>
      </c>
      <c r="W64" s="135">
        <f t="shared" si="85"/>
        <v>33428.597916366482</v>
      </c>
      <c r="X64" s="135">
        <f t="shared" si="85"/>
        <v>35263.851914174054</v>
      </c>
      <c r="Y64" s="135">
        <f t="shared" si="85"/>
        <v>38869.340883840057</v>
      </c>
      <c r="Z64" s="135">
        <f t="shared" si="85"/>
        <v>41393.453871223246</v>
      </c>
      <c r="AA64" s="135">
        <f t="shared" si="85"/>
        <v>43667.670456140419</v>
      </c>
      <c r="AB64" s="135">
        <f t="shared" si="85"/>
        <v>44289.859577663243</v>
      </c>
      <c r="AC64" s="135">
        <f t="shared" si="85"/>
        <v>44124.77245998165</v>
      </c>
      <c r="AD64" s="135">
        <f t="shared" si="85"/>
        <v>43614.537105063311</v>
      </c>
      <c r="AE64" s="135">
        <f t="shared" si="85"/>
        <v>42632.680308919997</v>
      </c>
      <c r="AF64" s="135">
        <f t="shared" si="85"/>
        <v>42518.669109917995</v>
      </c>
      <c r="AG64" s="135">
        <f t="shared" si="85"/>
        <v>42932.323755509999</v>
      </c>
      <c r="AH64" s="135">
        <f t="shared" si="85"/>
        <v>44663.41502000831</v>
      </c>
      <c r="AI64" s="135">
        <f t="shared" si="85"/>
        <v>46309.755880000004</v>
      </c>
      <c r="AJ64" s="135">
        <f>SUM(AO18:AR20)/1000000</f>
        <v>48843.167464496219</v>
      </c>
      <c r="AK64" s="135">
        <f>SUM(AS18:AV20)/1000000</f>
        <v>51443.193260892454</v>
      </c>
      <c r="AL64" s="135">
        <f>SUM(AW18:AZ20)/1000000</f>
        <v>50437.091965352309</v>
      </c>
      <c r="AM64" s="10"/>
      <c r="AO64" s="100">
        <v>39813</v>
      </c>
      <c r="AP64" s="101">
        <v>71911.299999999988</v>
      </c>
      <c r="AQ64" s="6">
        <v>12573.992798177107</v>
      </c>
      <c r="AR64" s="103">
        <f t="shared" si="64"/>
        <v>84485.292798177092</v>
      </c>
      <c r="AS64" s="101">
        <v>71911.299999999988</v>
      </c>
      <c r="AT64" s="6">
        <v>12573.992798177107</v>
      </c>
      <c r="AU64" s="103">
        <f t="shared" si="65"/>
        <v>84485.292798177092</v>
      </c>
      <c r="AV64" s="101">
        <v>71911.299999999988</v>
      </c>
      <c r="AW64" s="6">
        <v>12573.992798177107</v>
      </c>
      <c r="AX64" s="103">
        <f t="shared" si="66"/>
        <v>84485.292798177092</v>
      </c>
      <c r="AY64" s="122">
        <f t="shared" si="67"/>
        <v>0.18094046807836173</v>
      </c>
      <c r="AZ64" s="100">
        <v>39813</v>
      </c>
      <c r="BA64" s="105">
        <f t="shared" si="68"/>
        <v>4.5093843475745521E-2</v>
      </c>
      <c r="BB64" s="105">
        <f t="shared" si="69"/>
        <v>4.5093843475745521E-2</v>
      </c>
      <c r="BC64" s="105">
        <f t="shared" si="70"/>
        <v>4.5093843475745521E-2</v>
      </c>
      <c r="BD64" s="10"/>
      <c r="BE64" s="100">
        <v>39813</v>
      </c>
      <c r="BF64" s="105">
        <f t="shared" si="71"/>
        <v>7.4177581655072045E-2</v>
      </c>
      <c r="BG64" s="105">
        <f t="shared" si="72"/>
        <v>7.4177581655072045E-2</v>
      </c>
      <c r="BH64" s="105">
        <f t="shared" si="73"/>
        <v>7.4177581655072045E-2</v>
      </c>
      <c r="BI64" s="10"/>
      <c r="BJ64" s="10"/>
    </row>
    <row r="65" spans="1:62" ht="14.25" customHeight="1">
      <c r="A65" s="10" t="s">
        <v>95</v>
      </c>
      <c r="B65" s="10" t="s">
        <v>288</v>
      </c>
      <c r="C65" s="10" t="s">
        <v>289</v>
      </c>
      <c r="D65" s="10" t="s">
        <v>291</v>
      </c>
      <c r="E65" s="31">
        <v>-1011000</v>
      </c>
      <c r="F65" s="39">
        <v>-0.3</v>
      </c>
      <c r="G65" s="40">
        <f t="shared" si="0"/>
        <v>303300</v>
      </c>
      <c r="H65" s="10"/>
      <c r="I65" s="10"/>
      <c r="J65" s="10"/>
      <c r="K65" s="10"/>
      <c r="L65" s="339" t="s">
        <v>76</v>
      </c>
      <c r="M65" s="341">
        <f>SUM(M57:M64)</f>
        <v>97165.432038871149</v>
      </c>
      <c r="N65" s="341">
        <f t="shared" ref="N65:AL65" si="86">SUM(N57:N64)</f>
        <v>108195.50176471795</v>
      </c>
      <c r="O65" s="341">
        <f t="shared" si="86"/>
        <v>123295.12658158239</v>
      </c>
      <c r="P65" s="341">
        <f t="shared" si="86"/>
        <v>134180.53716276193</v>
      </c>
      <c r="Q65" s="341">
        <f t="shared" si="86"/>
        <v>138489.80585847507</v>
      </c>
      <c r="R65" s="341">
        <f t="shared" si="86"/>
        <v>147822.75904063697</v>
      </c>
      <c r="S65" s="341">
        <f t="shared" si="86"/>
        <v>159357.78943031284</v>
      </c>
      <c r="T65" s="341">
        <f t="shared" si="86"/>
        <v>174599.10552021247</v>
      </c>
      <c r="U65" s="341">
        <f t="shared" si="86"/>
        <v>193935.49902460101</v>
      </c>
      <c r="V65" s="341">
        <f t="shared" si="86"/>
        <v>210898.50204334519</v>
      </c>
      <c r="W65" s="341">
        <f t="shared" si="86"/>
        <v>227098.77506822895</v>
      </c>
      <c r="X65" s="341">
        <f t="shared" si="86"/>
        <v>247176.29723377869</v>
      </c>
      <c r="Y65" s="341">
        <f t="shared" si="86"/>
        <v>272580.7403239765</v>
      </c>
      <c r="Z65" s="341">
        <f t="shared" si="86"/>
        <v>293609.35638710036</v>
      </c>
      <c r="AA65" s="341">
        <f t="shared" si="86"/>
        <v>283030.87858804676</v>
      </c>
      <c r="AB65" s="341">
        <f t="shared" si="86"/>
        <v>279150.8471778988</v>
      </c>
      <c r="AC65" s="341">
        <f t="shared" si="86"/>
        <v>284482.73633666884</v>
      </c>
      <c r="AD65" s="341">
        <f t="shared" si="86"/>
        <v>278373.35216646531</v>
      </c>
      <c r="AE65" s="341">
        <f t="shared" si="86"/>
        <v>276217.61317899177</v>
      </c>
      <c r="AF65" s="341">
        <f t="shared" si="86"/>
        <v>276364.80819107004</v>
      </c>
      <c r="AG65" s="341">
        <f t="shared" si="86"/>
        <v>281466.22983444086</v>
      </c>
      <c r="AH65" s="341">
        <f t="shared" si="86"/>
        <v>291037.11640469637</v>
      </c>
      <c r="AI65" s="341">
        <f t="shared" si="86"/>
        <v>302659.21902900003</v>
      </c>
      <c r="AJ65" s="341">
        <f t="shared" si="86"/>
        <v>314886.43898161454</v>
      </c>
      <c r="AK65" s="341">
        <f t="shared" si="86"/>
        <v>328236.21135374589</v>
      </c>
      <c r="AL65" s="341">
        <f t="shared" si="86"/>
        <v>262787.27918286494</v>
      </c>
      <c r="AM65" s="10"/>
      <c r="AN65" s="10"/>
      <c r="AO65" s="100">
        <v>39903</v>
      </c>
      <c r="AP65" s="101">
        <v>66247</v>
      </c>
      <c r="AQ65" s="6">
        <v>9872.286711448869</v>
      </c>
      <c r="AR65" s="103">
        <f t="shared" si="64"/>
        <v>76119.286711448862</v>
      </c>
      <c r="AS65" s="101">
        <v>66247</v>
      </c>
      <c r="AT65" s="6">
        <v>9872.286711448869</v>
      </c>
      <c r="AU65" s="103">
        <f t="shared" si="65"/>
        <v>76119.286711448862</v>
      </c>
      <c r="AV65" s="101">
        <v>66247</v>
      </c>
      <c r="AW65" s="6">
        <v>9872.286711448869</v>
      </c>
      <c r="AX65" s="103">
        <f t="shared" si="66"/>
        <v>76119.286711448862</v>
      </c>
      <c r="AY65" s="122">
        <f t="shared" si="67"/>
        <v>0.17584712865065402</v>
      </c>
      <c r="AZ65" s="100">
        <v>39903</v>
      </c>
      <c r="BA65" s="105">
        <f t="shared" si="68"/>
        <v>-4.1570361445021908E-2</v>
      </c>
      <c r="BB65" s="105">
        <f t="shared" si="69"/>
        <v>-4.1570361445021908E-2</v>
      </c>
      <c r="BC65" s="105">
        <f t="shared" si="70"/>
        <v>-4.1570361445021908E-2</v>
      </c>
      <c r="BD65" s="10"/>
      <c r="BE65" s="100">
        <v>39903</v>
      </c>
      <c r="BF65" s="105">
        <f t="shared" si="71"/>
        <v>4.4984235003729056E-2</v>
      </c>
      <c r="BG65" s="105">
        <f t="shared" si="72"/>
        <v>4.4984235003729056E-2</v>
      </c>
      <c r="BH65" s="105">
        <f t="shared" si="73"/>
        <v>4.4984235003729056E-2</v>
      </c>
      <c r="BI65" s="10"/>
      <c r="BJ65" s="10"/>
    </row>
    <row r="66" spans="1:62" ht="14.25" customHeight="1">
      <c r="A66" s="10" t="s">
        <v>95</v>
      </c>
      <c r="B66" s="10" t="s">
        <v>288</v>
      </c>
      <c r="C66" s="10" t="s">
        <v>289</v>
      </c>
      <c r="D66" s="10" t="s">
        <v>292</v>
      </c>
      <c r="E66" s="31">
        <v>8507000</v>
      </c>
      <c r="F66" s="39">
        <v>-0.3</v>
      </c>
      <c r="G66" s="40">
        <f t="shared" si="0"/>
        <v>-2552100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0">
        <v>39994</v>
      </c>
      <c r="AP66" s="101">
        <v>72763.500000000015</v>
      </c>
      <c r="AQ66" s="6">
        <v>11363.206990995115</v>
      </c>
      <c r="AR66" s="103">
        <f t="shared" si="64"/>
        <v>84126.706990995124</v>
      </c>
      <c r="AS66" s="101">
        <v>72763.500000000015</v>
      </c>
      <c r="AT66" s="6">
        <v>11363.206990995115</v>
      </c>
      <c r="AU66" s="103">
        <f t="shared" si="65"/>
        <v>84126.706990995124</v>
      </c>
      <c r="AV66" s="101">
        <v>72763.500000000015</v>
      </c>
      <c r="AW66" s="6">
        <v>11363.206990995115</v>
      </c>
      <c r="AX66" s="103">
        <f t="shared" si="66"/>
        <v>84126.706990995124</v>
      </c>
      <c r="AY66" s="122">
        <f t="shared" si="67"/>
        <v>0.1683082574108288</v>
      </c>
      <c r="AZ66" s="100">
        <v>39994</v>
      </c>
      <c r="BA66" s="105">
        <f t="shared" si="68"/>
        <v>-4.6903405165997891E-2</v>
      </c>
      <c r="BB66" s="105">
        <f t="shared" si="69"/>
        <v>-4.6903405165997891E-2</v>
      </c>
      <c r="BC66" s="105">
        <f t="shared" si="70"/>
        <v>-4.6903405165997891E-2</v>
      </c>
      <c r="BD66" s="10"/>
      <c r="BE66" s="100">
        <v>39994</v>
      </c>
      <c r="BF66" s="105">
        <f t="shared" si="71"/>
        <v>1.0452297207727002E-2</v>
      </c>
      <c r="BG66" s="105">
        <f t="shared" si="72"/>
        <v>1.0452297207727002E-2</v>
      </c>
      <c r="BH66" s="105">
        <f t="shared" si="73"/>
        <v>1.0452297207727002E-2</v>
      </c>
      <c r="BI66" s="10"/>
      <c r="BJ66" s="10"/>
    </row>
    <row r="67" spans="1:62" ht="14.25" customHeight="1">
      <c r="A67" s="10" t="s">
        <v>95</v>
      </c>
      <c r="B67" s="10" t="s">
        <v>288</v>
      </c>
      <c r="C67" s="10" t="s">
        <v>289</v>
      </c>
      <c r="D67" s="10" t="s">
        <v>293</v>
      </c>
      <c r="E67" s="31">
        <v>30048000</v>
      </c>
      <c r="F67" s="39">
        <v>-0.3</v>
      </c>
      <c r="G67" s="40">
        <f t="shared" si="0"/>
        <v>-9014400</v>
      </c>
      <c r="H67" s="10"/>
      <c r="I67" s="10"/>
      <c r="J67" s="10"/>
      <c r="K67" s="10"/>
      <c r="L67" s="340" t="s">
        <v>1016</v>
      </c>
      <c r="M67" s="339">
        <v>1995</v>
      </c>
      <c r="N67" s="339">
        <v>1996</v>
      </c>
      <c r="O67" s="339">
        <v>1997</v>
      </c>
      <c r="P67" s="339">
        <v>1998</v>
      </c>
      <c r="Q67" s="339">
        <v>1999</v>
      </c>
      <c r="R67" s="339">
        <v>2000</v>
      </c>
      <c r="S67" s="339">
        <v>2001</v>
      </c>
      <c r="T67" s="339">
        <v>2002</v>
      </c>
      <c r="U67" s="339">
        <v>2003</v>
      </c>
      <c r="V67" s="339">
        <v>2004</v>
      </c>
      <c r="W67" s="339">
        <v>2005</v>
      </c>
      <c r="X67" s="339">
        <v>2006</v>
      </c>
      <c r="Y67" s="339">
        <v>2007</v>
      </c>
      <c r="Z67" s="339">
        <v>2008</v>
      </c>
      <c r="AA67" s="339">
        <v>2009</v>
      </c>
      <c r="AB67" s="339">
        <v>2010</v>
      </c>
      <c r="AC67" s="339">
        <v>2011</v>
      </c>
      <c r="AD67" s="339">
        <v>2012</v>
      </c>
      <c r="AE67" s="339">
        <v>2013</v>
      </c>
      <c r="AF67" s="339">
        <v>2014</v>
      </c>
      <c r="AG67" s="339">
        <v>2015</v>
      </c>
      <c r="AH67" s="339">
        <v>2016</v>
      </c>
      <c r="AI67" s="339">
        <v>2017</v>
      </c>
      <c r="AJ67" s="339">
        <v>2018</v>
      </c>
      <c r="AK67" s="339">
        <v>2019</v>
      </c>
      <c r="AL67" s="339">
        <v>2020</v>
      </c>
      <c r="AM67" s="10"/>
      <c r="AN67" s="10"/>
      <c r="AO67" s="100">
        <v>40086</v>
      </c>
      <c r="AP67" s="101">
        <v>75143.600000000006</v>
      </c>
      <c r="AQ67" s="6">
        <v>13209.141787485831</v>
      </c>
      <c r="AR67" s="103">
        <f t="shared" si="64"/>
        <v>88352.741787485837</v>
      </c>
      <c r="AS67" s="101">
        <v>75143.600000000006</v>
      </c>
      <c r="AT67" s="6">
        <v>13209.141787485831</v>
      </c>
      <c r="AU67" s="103">
        <f t="shared" si="65"/>
        <v>88352.741787485837</v>
      </c>
      <c r="AV67" s="101">
        <v>75143.600000000006</v>
      </c>
      <c r="AW67" s="6">
        <v>13209.141787485831</v>
      </c>
      <c r="AX67" s="103">
        <f t="shared" si="66"/>
        <v>88352.741787485837</v>
      </c>
      <c r="AY67" s="122">
        <f t="shared" si="67"/>
        <v>0.16436321305584986</v>
      </c>
      <c r="AZ67" s="100">
        <v>40086</v>
      </c>
      <c r="BA67" s="105">
        <f t="shared" si="68"/>
        <v>-6.5665875850453581E-2</v>
      </c>
      <c r="BB67" s="105">
        <f t="shared" si="69"/>
        <v>-6.5665875850453581E-2</v>
      </c>
      <c r="BC67" s="105">
        <f t="shared" si="70"/>
        <v>-6.5665875850453581E-2</v>
      </c>
      <c r="BD67" s="10"/>
      <c r="BE67" s="100">
        <v>40086</v>
      </c>
      <c r="BF67" s="105">
        <f t="shared" si="71"/>
        <v>-2.9163489826244171E-2</v>
      </c>
      <c r="BG67" s="105">
        <f t="shared" si="72"/>
        <v>-2.9163489826244171E-2</v>
      </c>
      <c r="BH67" s="105">
        <f t="shared" si="73"/>
        <v>-2.9163489826244171E-2</v>
      </c>
      <c r="BI67" s="10"/>
      <c r="BJ67" s="10"/>
    </row>
    <row r="68" spans="1:62" ht="14.25" customHeight="1">
      <c r="A68" s="10" t="s">
        <v>95</v>
      </c>
      <c r="B68" s="10" t="s">
        <v>288</v>
      </c>
      <c r="C68" s="10" t="s">
        <v>294</v>
      </c>
      <c r="D68" s="10" t="s">
        <v>294</v>
      </c>
      <c r="E68" s="31">
        <v>185192000</v>
      </c>
      <c r="F68" s="39">
        <v>-0.3</v>
      </c>
      <c r="G68" s="40">
        <f t="shared" si="0"/>
        <v>-55557600</v>
      </c>
      <c r="H68" s="10"/>
      <c r="I68" s="10"/>
      <c r="J68" s="10"/>
      <c r="K68" s="10"/>
      <c r="L68" s="10" t="s">
        <v>1008</v>
      </c>
      <c r="M68" s="135"/>
      <c r="N68" s="342">
        <f>(N57/M57-1)*M57/M$65</f>
        <v>6.2129919252627407E-3</v>
      </c>
      <c r="O68" s="342">
        <f t="shared" ref="O68:AL75" si="87">(O57/N57-1)*N57/N$65</f>
        <v>4.2948833637391683E-3</v>
      </c>
      <c r="P68" s="342">
        <f t="shared" si="87"/>
        <v>7.6909408272348677E-3</v>
      </c>
      <c r="Q68" s="342">
        <f t="shared" si="87"/>
        <v>2.7751916844644827E-3</v>
      </c>
      <c r="R68" s="342">
        <f t="shared" si="87"/>
        <v>-8.0535308288750033E-4</v>
      </c>
      <c r="S68" s="342">
        <f t="shared" si="87"/>
        <v>4.4711485882430917E-3</v>
      </c>
      <c r="T68" s="342">
        <f t="shared" si="87"/>
        <v>4.3499680042266547E-3</v>
      </c>
      <c r="U68" s="342">
        <f t="shared" si="87"/>
        <v>-6.2058984231795743E-3</v>
      </c>
      <c r="V68" s="342">
        <f t="shared" si="87"/>
        <v>1.0078257719716778E-2</v>
      </c>
      <c r="W68" s="342">
        <f t="shared" si="87"/>
        <v>-3.102721798453249E-3</v>
      </c>
      <c r="X68" s="342">
        <f t="shared" si="87"/>
        <v>5.7075084530769874E-3</v>
      </c>
      <c r="Y68" s="342">
        <f t="shared" si="87"/>
        <v>7.7982104868978114E-4</v>
      </c>
      <c r="Z68" s="342">
        <f t="shared" si="87"/>
        <v>6.4975353535388384E-3</v>
      </c>
      <c r="AA68" s="342">
        <f t="shared" si="87"/>
        <v>-1.4546835661205294E-3</v>
      </c>
      <c r="AB68" s="342">
        <f t="shared" si="87"/>
        <v>-4.2908603473641458E-3</v>
      </c>
      <c r="AC68" s="342">
        <f t="shared" si="87"/>
        <v>3.7440097724420157E-4</v>
      </c>
      <c r="AD68" s="342">
        <f t="shared" si="87"/>
        <v>-4.302868770053668E-3</v>
      </c>
      <c r="AE68" s="342">
        <f t="shared" si="87"/>
        <v>2.0240718825633272E-3</v>
      </c>
      <c r="AF68" s="342">
        <f t="shared" si="87"/>
        <v>-6.1616595123765256E-3</v>
      </c>
      <c r="AG68" s="342">
        <f t="shared" si="87"/>
        <v>1.1838081601392909E-3</v>
      </c>
      <c r="AH68" s="342">
        <f t="shared" si="87"/>
        <v>2.4685826648495552E-3</v>
      </c>
      <c r="AI68" s="342">
        <f t="shared" si="87"/>
        <v>-5.6786110438643658E-4</v>
      </c>
      <c r="AJ68" s="342">
        <f t="shared" si="87"/>
        <v>5.8978422199027901E-4</v>
      </c>
      <c r="AK68" s="342">
        <f t="shared" si="87"/>
        <v>5.9137219164717746E-4</v>
      </c>
      <c r="AL68" s="342">
        <f t="shared" si="87"/>
        <v>0</v>
      </c>
      <c r="AM68" s="10"/>
      <c r="AN68" s="10"/>
      <c r="AO68" s="100">
        <v>40178</v>
      </c>
      <c r="AP68" s="101">
        <v>68876.500000000015</v>
      </c>
      <c r="AQ68" s="6">
        <v>13295.238868462837</v>
      </c>
      <c r="AR68" s="103">
        <f t="shared" si="64"/>
        <v>82171.738868462853</v>
      </c>
      <c r="AS68" s="101">
        <v>68876.500000000015</v>
      </c>
      <c r="AT68" s="6">
        <v>13295.238868462837</v>
      </c>
      <c r="AU68" s="103">
        <f t="shared" si="65"/>
        <v>82171.738868462853</v>
      </c>
      <c r="AV68" s="101">
        <v>68876.500000000015</v>
      </c>
      <c r="AW68" s="6">
        <v>13295.238868462837</v>
      </c>
      <c r="AX68" s="103">
        <f t="shared" si="66"/>
        <v>82171.738868462853</v>
      </c>
      <c r="AY68" s="122">
        <f t="shared" si="67"/>
        <v>0.16867389730436444</v>
      </c>
      <c r="AZ68" s="100">
        <v>40178</v>
      </c>
      <c r="BA68" s="105">
        <f t="shared" si="68"/>
        <v>-2.7384102641876074E-2</v>
      </c>
      <c r="BB68" s="105">
        <f t="shared" si="69"/>
        <v>-2.7384102641876074E-2</v>
      </c>
      <c r="BC68" s="105">
        <f t="shared" si="70"/>
        <v>-2.7384102641876074E-2</v>
      </c>
      <c r="BD68" s="10"/>
      <c r="BE68" s="100">
        <v>40178</v>
      </c>
      <c r="BF68" s="105">
        <f t="shared" si="71"/>
        <v>-4.6042727210420242E-2</v>
      </c>
      <c r="BG68" s="105">
        <f t="shared" si="72"/>
        <v>-4.6042727210420242E-2</v>
      </c>
      <c r="BH68" s="105">
        <f t="shared" si="73"/>
        <v>-4.6042727210420242E-2</v>
      </c>
      <c r="BI68" s="10"/>
      <c r="BJ68" s="10"/>
    </row>
    <row r="69" spans="1:62" ht="14.25" customHeight="1">
      <c r="A69" s="10" t="s">
        <v>95</v>
      </c>
      <c r="B69" s="10" t="s">
        <v>288</v>
      </c>
      <c r="C69" s="10" t="s">
        <v>295</v>
      </c>
      <c r="D69" s="10" t="s">
        <v>296</v>
      </c>
      <c r="E69" s="31">
        <v>209596000</v>
      </c>
      <c r="F69" s="39">
        <v>0</v>
      </c>
      <c r="G69" s="40">
        <f t="shared" si="0"/>
        <v>0</v>
      </c>
      <c r="H69" s="10"/>
      <c r="I69" s="10"/>
      <c r="J69" s="10"/>
      <c r="K69" s="10"/>
      <c r="L69" s="10" t="s">
        <v>1009</v>
      </c>
      <c r="M69" s="135"/>
      <c r="N69" s="342">
        <f t="shared" ref="N69:AC75" si="88">(N58/M58-1)*M58/M$65</f>
        <v>1.5230957369598865E-3</v>
      </c>
      <c r="O69" s="342">
        <f t="shared" si="88"/>
        <v>3.9702779057899124E-2</v>
      </c>
      <c r="P69" s="342">
        <f t="shared" si="88"/>
        <v>1.0686621688849178E-2</v>
      </c>
      <c r="Q69" s="342">
        <f t="shared" si="88"/>
        <v>9.668283593483885E-3</v>
      </c>
      <c r="R69" s="342">
        <f t="shared" si="88"/>
        <v>2.6830120557015363E-2</v>
      </c>
      <c r="S69" s="342">
        <f t="shared" si="88"/>
        <v>6.8656769669133691E-3</v>
      </c>
      <c r="T69" s="342">
        <f t="shared" si="88"/>
        <v>1.1297139397644049E-2</v>
      </c>
      <c r="U69" s="342">
        <f t="shared" si="88"/>
        <v>1.6167178401918697E-2</v>
      </c>
      <c r="V69" s="342">
        <f t="shared" si="88"/>
        <v>2.5338979690023734E-2</v>
      </c>
      <c r="W69" s="342">
        <f t="shared" si="88"/>
        <v>6.5358988591182696E-3</v>
      </c>
      <c r="X69" s="342">
        <f t="shared" si="88"/>
        <v>1.1963208591016688E-2</v>
      </c>
      <c r="Y69" s="342">
        <f t="shared" si="88"/>
        <v>1.260175277350881E-2</v>
      </c>
      <c r="Z69" s="342">
        <f t="shared" si="88"/>
        <v>9.8828551622709097E-3</v>
      </c>
      <c r="AA69" s="342">
        <f t="shared" si="88"/>
        <v>-5.0407294832164702E-3</v>
      </c>
      <c r="AB69" s="342">
        <f t="shared" si="88"/>
        <v>9.198064624080524E-4</v>
      </c>
      <c r="AC69" s="342">
        <f t="shared" si="88"/>
        <v>9.1377311859529072E-3</v>
      </c>
      <c r="AD69" s="342">
        <f t="shared" si="87"/>
        <v>1.4858585934149709E-3</v>
      </c>
      <c r="AE69" s="342">
        <f t="shared" si="87"/>
        <v>-5.9158676943881702E-3</v>
      </c>
      <c r="AF69" s="342">
        <f t="shared" si="87"/>
        <v>3.0292238241199803E-3</v>
      </c>
      <c r="AG69" s="342">
        <f t="shared" si="87"/>
        <v>2.1604423059626001E-3</v>
      </c>
      <c r="AH69" s="342">
        <f t="shared" si="87"/>
        <v>6.0615725872720646E-3</v>
      </c>
      <c r="AI69" s="342">
        <f t="shared" si="87"/>
        <v>3.385273159124872E-3</v>
      </c>
      <c r="AJ69" s="342">
        <f t="shared" si="87"/>
        <v>2.837833083692844E-3</v>
      </c>
      <c r="AK69" s="342">
        <f t="shared" si="87"/>
        <v>3.0044664103895465E-3</v>
      </c>
      <c r="AL69" s="342">
        <f t="shared" si="87"/>
        <v>-2.161119998136804E-2</v>
      </c>
      <c r="AM69" s="10"/>
      <c r="AN69" s="10"/>
      <c r="AO69" s="100">
        <v>40268</v>
      </c>
      <c r="AP69" s="101">
        <v>64384.400000000009</v>
      </c>
      <c r="AQ69" s="6">
        <v>10685.624504157473</v>
      </c>
      <c r="AR69" s="103">
        <f t="shared" si="64"/>
        <v>75070.024504157482</v>
      </c>
      <c r="AS69" s="101">
        <v>64384.400000000009</v>
      </c>
      <c r="AT69" s="6">
        <v>10685.624504157473</v>
      </c>
      <c r="AU69" s="103">
        <f t="shared" si="65"/>
        <v>75070.024504157482</v>
      </c>
      <c r="AV69" s="101">
        <v>64384.400000000009</v>
      </c>
      <c r="AW69" s="6">
        <v>10685.624504157473</v>
      </c>
      <c r="AX69" s="103">
        <f t="shared" si="66"/>
        <v>75070.024504157482</v>
      </c>
      <c r="AY69" s="122">
        <f t="shared" si="67"/>
        <v>0.1726839901806082</v>
      </c>
      <c r="AZ69" s="100">
        <v>40268</v>
      </c>
      <c r="BA69" s="105">
        <f t="shared" si="68"/>
        <v>-1.3784446132146466E-2</v>
      </c>
      <c r="BB69" s="105">
        <f t="shared" si="69"/>
        <v>-1.3784446132146466E-2</v>
      </c>
      <c r="BC69" s="105">
        <f t="shared" si="70"/>
        <v>-1.3784446132146466E-2</v>
      </c>
      <c r="BD69" s="10"/>
      <c r="BE69" s="100">
        <v>40268</v>
      </c>
      <c r="BF69" s="105">
        <f t="shared" si="71"/>
        <v>-3.9927196871369697E-2</v>
      </c>
      <c r="BG69" s="105">
        <f t="shared" si="72"/>
        <v>-3.9927196871369697E-2</v>
      </c>
      <c r="BH69" s="105">
        <f t="shared" si="73"/>
        <v>-3.9927196871369697E-2</v>
      </c>
      <c r="BI69" s="10"/>
      <c r="BJ69" s="10"/>
    </row>
    <row r="70" spans="1:62" ht="14.25" customHeight="1">
      <c r="A70" s="10" t="s">
        <v>95</v>
      </c>
      <c r="B70" s="10" t="s">
        <v>288</v>
      </c>
      <c r="C70" s="10" t="s">
        <v>295</v>
      </c>
      <c r="D70" s="10" t="s">
        <v>297</v>
      </c>
      <c r="E70" s="31">
        <v>120310000</v>
      </c>
      <c r="F70" s="39">
        <v>0</v>
      </c>
      <c r="G70" s="40">
        <f t="shared" si="0"/>
        <v>0</v>
      </c>
      <c r="H70" s="10"/>
      <c r="I70" s="10"/>
      <c r="J70" s="10"/>
      <c r="K70" s="10"/>
      <c r="L70" s="10" t="s">
        <v>1010</v>
      </c>
      <c r="M70" s="135"/>
      <c r="N70" s="342">
        <f t="shared" si="88"/>
        <v>1.7105745971096081E-2</v>
      </c>
      <c r="O70" s="342">
        <f t="shared" si="87"/>
        <v>1.6791988975820325E-2</v>
      </c>
      <c r="P70" s="342">
        <f t="shared" si="87"/>
        <v>1.2813616139631704E-3</v>
      </c>
      <c r="Q70" s="342">
        <f t="shared" si="87"/>
        <v>-1.2867920720779353E-2</v>
      </c>
      <c r="R70" s="342">
        <f t="shared" si="87"/>
        <v>-2.875237120883375E-3</v>
      </c>
      <c r="S70" s="342">
        <f t="shared" si="87"/>
        <v>9.9102809258101512E-3</v>
      </c>
      <c r="T70" s="342">
        <f t="shared" si="87"/>
        <v>9.1123787480349196E-3</v>
      </c>
      <c r="U70" s="342">
        <f t="shared" si="87"/>
        <v>1.9963710795668912E-2</v>
      </c>
      <c r="V70" s="342">
        <f t="shared" si="87"/>
        <v>1.0809559318701863E-2</v>
      </c>
      <c r="W70" s="342">
        <f t="shared" si="87"/>
        <v>8.675580843271323E-3</v>
      </c>
      <c r="X70" s="342">
        <f t="shared" si="87"/>
        <v>9.8982233355122268E-3</v>
      </c>
      <c r="Y70" s="342">
        <f t="shared" si="87"/>
        <v>9.2233064523088992E-3</v>
      </c>
      <c r="Z70" s="342">
        <f t="shared" si="87"/>
        <v>1.0319325297079008E-2</v>
      </c>
      <c r="AA70" s="342">
        <f t="shared" si="87"/>
        <v>-7.9006938123204005E-3</v>
      </c>
      <c r="AB70" s="342">
        <f t="shared" si="87"/>
        <v>-1.895567315470411E-2</v>
      </c>
      <c r="AC70" s="342">
        <f t="shared" si="87"/>
        <v>-3.8644458216952646E-3</v>
      </c>
      <c r="AD70" s="342">
        <f t="shared" si="87"/>
        <v>-7.4925672120034785E-3</v>
      </c>
      <c r="AE70" s="342">
        <f t="shared" si="87"/>
        <v>-7.6930890905995287E-4</v>
      </c>
      <c r="AF70" s="342">
        <f t="shared" si="87"/>
        <v>-3.1266433898459131E-4</v>
      </c>
      <c r="AG70" s="342">
        <f t="shared" si="87"/>
        <v>1.4902813312314578E-3</v>
      </c>
      <c r="AH70" s="342">
        <f t="shared" si="87"/>
        <v>1.3191174892476767E-3</v>
      </c>
      <c r="AI70" s="342">
        <f t="shared" si="87"/>
        <v>2.5558237182461609E-3</v>
      </c>
      <c r="AJ70" s="342">
        <f t="shared" si="87"/>
        <v>3.2887356164660766E-3</v>
      </c>
      <c r="AK70" s="342">
        <f t="shared" si="87"/>
        <v>4.8546843346219662E-3</v>
      </c>
      <c r="AL70" s="342">
        <f t="shared" si="87"/>
        <v>-9.4737925747427013E-3</v>
      </c>
      <c r="AM70" s="10"/>
      <c r="AN70" s="10"/>
      <c r="AO70" s="100">
        <v>40359</v>
      </c>
      <c r="AP70" s="101">
        <v>69859.200000000012</v>
      </c>
      <c r="AQ70" s="6">
        <v>12342.872660693218</v>
      </c>
      <c r="AR70" s="103">
        <f t="shared" si="64"/>
        <v>82202.072660693229</v>
      </c>
      <c r="AS70" s="101">
        <v>69859.200000000012</v>
      </c>
      <c r="AT70" s="6">
        <v>12342.872660693218</v>
      </c>
      <c r="AU70" s="103">
        <f t="shared" si="65"/>
        <v>82202.072660693229</v>
      </c>
      <c r="AV70" s="101">
        <v>69859.200000000012</v>
      </c>
      <c r="AW70" s="6">
        <v>12342.872660693218</v>
      </c>
      <c r="AX70" s="103">
        <f t="shared" si="66"/>
        <v>82202.072660693229</v>
      </c>
      <c r="AY70" s="122">
        <f t="shared" si="67"/>
        <v>0.17800696900385982</v>
      </c>
      <c r="AZ70" s="100">
        <v>40359</v>
      </c>
      <c r="BA70" s="105">
        <f t="shared" si="68"/>
        <v>-2.2877804197279583E-2</v>
      </c>
      <c r="BB70" s="105">
        <f t="shared" si="69"/>
        <v>-2.2877804197279583E-2</v>
      </c>
      <c r="BC70" s="105">
        <f t="shared" si="70"/>
        <v>-2.2877804197279583E-2</v>
      </c>
      <c r="BD70" s="10"/>
      <c r="BE70" s="100">
        <v>40359</v>
      </c>
      <c r="BF70" s="105">
        <f t="shared" si="71"/>
        <v>-3.3885006228826509E-2</v>
      </c>
      <c r="BG70" s="105">
        <f t="shared" si="72"/>
        <v>-3.3885006228826509E-2</v>
      </c>
      <c r="BH70" s="105">
        <f t="shared" si="73"/>
        <v>-3.3885006228826509E-2</v>
      </c>
      <c r="BI70" s="10"/>
      <c r="BJ70" s="10"/>
    </row>
    <row r="71" spans="1:62" ht="14.25" customHeight="1">
      <c r="A71" s="10" t="s">
        <v>95</v>
      </c>
      <c r="B71" s="10" t="s">
        <v>288</v>
      </c>
      <c r="C71" s="10" t="s">
        <v>298</v>
      </c>
      <c r="D71" s="10" t="s">
        <v>299</v>
      </c>
      <c r="E71" s="31">
        <v>2535000</v>
      </c>
      <c r="F71" s="39">
        <v>-0.3</v>
      </c>
      <c r="G71" s="40">
        <f t="shared" si="0"/>
        <v>-760500</v>
      </c>
      <c r="H71" s="10"/>
      <c r="I71" s="10"/>
      <c r="J71" s="10"/>
      <c r="K71" s="10"/>
      <c r="L71" s="10" t="s">
        <v>1011</v>
      </c>
      <c r="M71" s="135"/>
      <c r="N71" s="342">
        <f t="shared" si="88"/>
        <v>2.0613874280185681E-2</v>
      </c>
      <c r="O71" s="342">
        <f t="shared" si="87"/>
        <v>2.167590061945477E-2</v>
      </c>
      <c r="P71" s="342">
        <f t="shared" si="87"/>
        <v>5.128434271149734E-3</v>
      </c>
      <c r="Q71" s="342">
        <f t="shared" si="87"/>
        <v>-1.6959126239365744E-2</v>
      </c>
      <c r="R71" s="342">
        <f t="shared" si="87"/>
        <v>6.1477667852747097E-3</v>
      </c>
      <c r="S71" s="342">
        <f t="shared" si="87"/>
        <v>2.2238448194936408E-2</v>
      </c>
      <c r="T71" s="342">
        <f t="shared" si="87"/>
        <v>1.9892507626320468E-2</v>
      </c>
      <c r="U71" s="342">
        <f t="shared" si="87"/>
        <v>2.2884617755479789E-2</v>
      </c>
      <c r="V71" s="342">
        <f t="shared" si="87"/>
        <v>-2.0535219198024612E-3</v>
      </c>
      <c r="W71" s="342">
        <f t="shared" si="87"/>
        <v>1.3099051916475519E-2</v>
      </c>
      <c r="X71" s="342">
        <f t="shared" si="87"/>
        <v>1.4884778368546616E-2</v>
      </c>
      <c r="Y71" s="342">
        <f t="shared" si="87"/>
        <v>9.1106154772130112E-3</v>
      </c>
      <c r="Z71" s="342">
        <f t="shared" si="87"/>
        <v>1.0583057185839852E-2</v>
      </c>
      <c r="AA71" s="342">
        <f t="shared" si="87"/>
        <v>-1.8871375908494782E-2</v>
      </c>
      <c r="AB71" s="342">
        <f t="shared" si="87"/>
        <v>3.5575882072504681E-3</v>
      </c>
      <c r="AC71" s="342">
        <f t="shared" si="87"/>
        <v>2.5721004905165891E-3</v>
      </c>
      <c r="AD71" s="342">
        <f t="shared" si="87"/>
        <v>-1.9052577572242298E-3</v>
      </c>
      <c r="AE71" s="342">
        <f t="shared" si="87"/>
        <v>-2.51792682019955E-3</v>
      </c>
      <c r="AF71" s="342">
        <f t="shared" si="87"/>
        <v>3.157871210107852E-4</v>
      </c>
      <c r="AG71" s="342">
        <f t="shared" si="87"/>
        <v>6.7454101761725968E-3</v>
      </c>
      <c r="AH71" s="342">
        <f t="shared" si="87"/>
        <v>-1.3329893678477966E-3</v>
      </c>
      <c r="AI71" s="342">
        <f t="shared" si="87"/>
        <v>6.1004054379377474E-3</v>
      </c>
      <c r="AJ71" s="342">
        <f t="shared" si="87"/>
        <v>7.6551765581598652E-3</v>
      </c>
      <c r="AK71" s="342">
        <f t="shared" si="87"/>
        <v>6.5688140186355255E-3</v>
      </c>
      <c r="AL71" s="342">
        <f t="shared" si="87"/>
        <v>-2.2906948916782386E-2</v>
      </c>
      <c r="AM71" s="10"/>
      <c r="AN71" s="10"/>
      <c r="AO71" s="100">
        <v>40451</v>
      </c>
      <c r="AP71" s="101">
        <v>75264.5</v>
      </c>
      <c r="AQ71" s="6">
        <v>14655.714321415389</v>
      </c>
      <c r="AR71" s="103">
        <f t="shared" si="64"/>
        <v>89920.214321415391</v>
      </c>
      <c r="AS71" s="101">
        <v>75264.5</v>
      </c>
      <c r="AT71" s="6">
        <v>14655.714321415389</v>
      </c>
      <c r="AU71" s="103">
        <f t="shared" si="65"/>
        <v>89920.214321415391</v>
      </c>
      <c r="AV71" s="101">
        <v>75264.5</v>
      </c>
      <c r="AW71" s="6">
        <v>14655.714321415389</v>
      </c>
      <c r="AX71" s="103">
        <f t="shared" si="66"/>
        <v>89920.214321415391</v>
      </c>
      <c r="AY71" s="122">
        <f t="shared" si="67"/>
        <v>0.18312597160449579</v>
      </c>
      <c r="AZ71" s="100">
        <v>40451</v>
      </c>
      <c r="BA71" s="105">
        <f t="shared" si="68"/>
        <v>1.7741074042725069E-2</v>
      </c>
      <c r="BB71" s="105">
        <f t="shared" si="69"/>
        <v>1.7741074042725069E-2</v>
      </c>
      <c r="BC71" s="105">
        <f t="shared" si="70"/>
        <v>1.7741074042725069E-2</v>
      </c>
      <c r="BD71" s="10"/>
      <c r="BE71" s="100">
        <v>40451</v>
      </c>
      <c r="BF71" s="105">
        <f t="shared" si="71"/>
        <v>-1.1168286730819488E-2</v>
      </c>
      <c r="BG71" s="105">
        <f t="shared" si="72"/>
        <v>-1.1168286730819488E-2</v>
      </c>
      <c r="BH71" s="105">
        <f t="shared" si="73"/>
        <v>-1.1168286730819488E-2</v>
      </c>
      <c r="BI71" s="10"/>
      <c r="BJ71" s="10"/>
    </row>
    <row r="72" spans="1:62" ht="14.25" customHeight="1">
      <c r="A72" s="10" t="s">
        <v>95</v>
      </c>
      <c r="B72" s="10" t="s">
        <v>288</v>
      </c>
      <c r="C72" s="10" t="s">
        <v>298</v>
      </c>
      <c r="D72" s="10" t="s">
        <v>300</v>
      </c>
      <c r="E72" s="31">
        <v>10007000</v>
      </c>
      <c r="F72" s="39">
        <v>-0.3</v>
      </c>
      <c r="G72" s="40">
        <f t="shared" si="0"/>
        <v>-3002100</v>
      </c>
      <c r="H72" s="10"/>
      <c r="I72" s="10"/>
      <c r="J72" s="10"/>
      <c r="K72" s="10"/>
      <c r="L72" s="10" t="s">
        <v>429</v>
      </c>
      <c r="M72" s="135"/>
      <c r="N72" s="342">
        <f t="shared" si="88"/>
        <v>1.9871997899120773E-2</v>
      </c>
      <c r="O72" s="342">
        <f t="shared" si="87"/>
        <v>2.9339828232435857E-2</v>
      </c>
      <c r="P72" s="342">
        <f t="shared" si="87"/>
        <v>1.3841256578541678E-2</v>
      </c>
      <c r="Q72" s="342">
        <f t="shared" si="87"/>
        <v>1.0329026437821775E-2</v>
      </c>
      <c r="R72" s="342">
        <f t="shared" si="87"/>
        <v>2.7000656638944482E-2</v>
      </c>
      <c r="S72" s="342">
        <f t="shared" si="87"/>
        <v>2.7021842453289122E-2</v>
      </c>
      <c r="T72" s="342">
        <f t="shared" si="87"/>
        <v>3.167467627559898E-2</v>
      </c>
      <c r="U72" s="342">
        <f t="shared" si="87"/>
        <v>2.8897510310720718E-2</v>
      </c>
      <c r="V72" s="342">
        <f t="shared" si="87"/>
        <v>2.2001128538946892E-2</v>
      </c>
      <c r="W72" s="342">
        <f t="shared" si="87"/>
        <v>2.7242316581641238E-2</v>
      </c>
      <c r="X72" s="342">
        <f t="shared" si="87"/>
        <v>2.6324652761921617E-2</v>
      </c>
      <c r="Y72" s="342">
        <f t="shared" si="87"/>
        <v>3.0803301354793717E-2</v>
      </c>
      <c r="Z72" s="342">
        <f t="shared" si="87"/>
        <v>2.2118932921899731E-2</v>
      </c>
      <c r="AA72" s="342">
        <f t="shared" si="87"/>
        <v>-1.1359909058320135E-2</v>
      </c>
      <c r="AB72" s="342">
        <f t="shared" si="87"/>
        <v>1.2533585958479445E-3</v>
      </c>
      <c r="AC72" s="342">
        <f t="shared" si="87"/>
        <v>2.5530552949036855E-3</v>
      </c>
      <c r="AD72" s="342">
        <f t="shared" si="87"/>
        <v>-1.7141800357800951E-3</v>
      </c>
      <c r="AE72" s="342">
        <f t="shared" si="87"/>
        <v>7.1828791074931234E-3</v>
      </c>
      <c r="AF72" s="342">
        <f t="shared" si="87"/>
        <v>9.6073027317840007E-4</v>
      </c>
      <c r="AG72" s="342">
        <f t="shared" si="87"/>
        <v>4.6479586189318613E-3</v>
      </c>
      <c r="AH72" s="342">
        <f t="shared" si="87"/>
        <v>1.6587912763715261E-2</v>
      </c>
      <c r="AI72" s="342">
        <f t="shared" si="87"/>
        <v>1.8766969009678079E-2</v>
      </c>
      <c r="AJ72" s="342">
        <f t="shared" si="87"/>
        <v>1.4235223943845797E-2</v>
      </c>
      <c r="AK72" s="342">
        <f t="shared" si="87"/>
        <v>1.5118220343448265E-2</v>
      </c>
      <c r="AL72" s="342">
        <f t="shared" si="87"/>
        <v>-0.10151233981969955</v>
      </c>
      <c r="AM72" s="10"/>
      <c r="AN72" s="10"/>
      <c r="AO72" s="100">
        <v>40543</v>
      </c>
      <c r="AP72" s="101">
        <v>69642.899999999994</v>
      </c>
      <c r="AQ72" s="6">
        <v>11989.10497701323</v>
      </c>
      <c r="AR72" s="103">
        <f t="shared" si="64"/>
        <v>81632.004977013217</v>
      </c>
      <c r="AS72" s="101">
        <v>69642.899999999994</v>
      </c>
      <c r="AT72" s="6">
        <v>11989.10497701323</v>
      </c>
      <c r="AU72" s="103">
        <f t="shared" si="65"/>
        <v>81632.004977013217</v>
      </c>
      <c r="AV72" s="101">
        <v>69642.899999999994</v>
      </c>
      <c r="AW72" s="6">
        <v>11989.10497701323</v>
      </c>
      <c r="AX72" s="103">
        <f t="shared" si="66"/>
        <v>81632.004977013217</v>
      </c>
      <c r="AY72" s="122">
        <f t="shared" si="67"/>
        <v>0.17794425405346681</v>
      </c>
      <c r="AZ72" s="100">
        <v>40543</v>
      </c>
      <c r="BA72" s="105">
        <f t="shared" si="68"/>
        <v>-6.5683640005916866E-3</v>
      </c>
      <c r="BB72" s="105">
        <f t="shared" si="69"/>
        <v>-6.5683640005916866E-3</v>
      </c>
      <c r="BC72" s="105">
        <f t="shared" si="70"/>
        <v>-6.5683640005916866E-3</v>
      </c>
      <c r="BD72" s="10"/>
      <c r="BE72" s="100">
        <v>40543</v>
      </c>
      <c r="BF72" s="105">
        <f t="shared" si="71"/>
        <v>-5.8837110503541235E-3</v>
      </c>
      <c r="BG72" s="105">
        <f t="shared" si="72"/>
        <v>-5.8837110503541235E-3</v>
      </c>
      <c r="BH72" s="105">
        <f t="shared" si="73"/>
        <v>-5.8837110503541235E-3</v>
      </c>
      <c r="BI72" s="10"/>
      <c r="BJ72" s="10"/>
    </row>
    <row r="73" spans="1:62" ht="14.25" customHeight="1">
      <c r="A73" s="10" t="s">
        <v>95</v>
      </c>
      <c r="B73" s="10" t="s">
        <v>288</v>
      </c>
      <c r="C73" s="10" t="s">
        <v>298</v>
      </c>
      <c r="D73" s="10" t="s">
        <v>301</v>
      </c>
      <c r="E73" s="31">
        <v>155548000</v>
      </c>
      <c r="F73" s="39">
        <v>-0.3</v>
      </c>
      <c r="G73" s="40">
        <f t="shared" si="0"/>
        <v>-46664400</v>
      </c>
      <c r="H73" s="10"/>
      <c r="I73" s="10"/>
      <c r="J73" s="10"/>
      <c r="K73" s="10"/>
      <c r="L73" s="10" t="s">
        <v>1012</v>
      </c>
      <c r="M73" s="135"/>
      <c r="N73" s="342">
        <f t="shared" si="88"/>
        <v>1.2731803650707977E-2</v>
      </c>
      <c r="O73" s="342">
        <f t="shared" si="87"/>
        <v>-3.6382313700463213E-3</v>
      </c>
      <c r="P73" s="342">
        <f t="shared" si="87"/>
        <v>3.3291075035812323E-3</v>
      </c>
      <c r="Q73" s="342">
        <f t="shared" si="87"/>
        <v>1.2995742023685213E-2</v>
      </c>
      <c r="R73" s="342">
        <f t="shared" si="87"/>
        <v>-3.2673647730247554E-3</v>
      </c>
      <c r="S73" s="342">
        <f t="shared" si="87"/>
        <v>7.5818018057650181E-3</v>
      </c>
      <c r="T73" s="342">
        <f t="shared" si="87"/>
        <v>6.6383199944444601E-3</v>
      </c>
      <c r="U73" s="342">
        <f t="shared" si="87"/>
        <v>1.0848982924844939E-2</v>
      </c>
      <c r="V73" s="342">
        <f t="shared" si="87"/>
        <v>2.5175401361179892E-3</v>
      </c>
      <c r="W73" s="342">
        <f t="shared" si="87"/>
        <v>1.1851832063582137E-2</v>
      </c>
      <c r="X73" s="342">
        <f t="shared" si="87"/>
        <v>3.6059287896040627E-3</v>
      </c>
      <c r="Y73" s="342">
        <f t="shared" si="87"/>
        <v>9.1760045482111204E-3</v>
      </c>
      <c r="Z73" s="342">
        <f t="shared" si="87"/>
        <v>5.9245757148045173E-3</v>
      </c>
      <c r="AA73" s="342">
        <f t="shared" si="87"/>
        <v>5.2123416125730902E-4</v>
      </c>
      <c r="AB73" s="342">
        <f t="shared" si="87"/>
        <v>2.7544960521896423E-3</v>
      </c>
      <c r="AC73" s="342">
        <f t="shared" si="87"/>
        <v>4.6445423931635553E-3</v>
      </c>
      <c r="AD73" s="342">
        <f t="shared" si="87"/>
        <v>-6.2373286309177411E-3</v>
      </c>
      <c r="AE73" s="342">
        <f t="shared" si="87"/>
        <v>-3.8086611224130199E-3</v>
      </c>
      <c r="AF73" s="342">
        <f t="shared" si="87"/>
        <v>1.7318727214443862E-3</v>
      </c>
      <c r="AG73" s="342">
        <f t="shared" si="87"/>
        <v>-6.8955930024283403E-4</v>
      </c>
      <c r="AH73" s="342">
        <f t="shared" si="87"/>
        <v>1.6519984338850679E-3</v>
      </c>
      <c r="AI73" s="342">
        <f t="shared" si="87"/>
        <v>2.381461803972936E-3</v>
      </c>
      <c r="AJ73" s="342">
        <f t="shared" si="87"/>
        <v>1.1208338686651393E-3</v>
      </c>
      <c r="AK73" s="342">
        <f t="shared" si="87"/>
        <v>1.7635415823366752E-3</v>
      </c>
      <c r="AL73" s="342">
        <f t="shared" si="87"/>
        <v>-3.5478786853904098E-3</v>
      </c>
      <c r="AM73" s="10"/>
      <c r="AN73" s="10"/>
      <c r="AO73" s="100">
        <v>40633</v>
      </c>
      <c r="AP73" s="101">
        <v>64822.9</v>
      </c>
      <c r="AQ73" s="6">
        <v>10018.72572526108</v>
      </c>
      <c r="AR73" s="103">
        <f t="shared" si="64"/>
        <v>74841.625725261081</v>
      </c>
      <c r="AS73" s="101">
        <v>64822.9</v>
      </c>
      <c r="AT73" s="6">
        <v>10018.72572526108</v>
      </c>
      <c r="AU73" s="103">
        <f t="shared" si="65"/>
        <v>74841.625725261081</v>
      </c>
      <c r="AV73" s="101">
        <v>64822.9</v>
      </c>
      <c r="AW73" s="6">
        <v>10018.72572526108</v>
      </c>
      <c r="AX73" s="103">
        <f t="shared" si="66"/>
        <v>74841.625725261081</v>
      </c>
      <c r="AY73" s="122">
        <f t="shared" si="67"/>
        <v>0.17527989314471007</v>
      </c>
      <c r="AZ73" s="100">
        <v>40633</v>
      </c>
      <c r="BA73" s="105">
        <f t="shared" si="68"/>
        <v>-3.0424764132553905E-3</v>
      </c>
      <c r="BB73" s="105">
        <f t="shared" si="69"/>
        <v>-3.0424764132553905E-3</v>
      </c>
      <c r="BC73" s="105">
        <f t="shared" si="70"/>
        <v>-3.0424764132553905E-3</v>
      </c>
      <c r="BD73" s="10"/>
      <c r="BE73" s="100">
        <v>40633</v>
      </c>
      <c r="BF73" s="105">
        <f t="shared" si="71"/>
        <v>-3.4128664618725546E-3</v>
      </c>
      <c r="BG73" s="105">
        <f t="shared" si="72"/>
        <v>-3.4128664618725546E-3</v>
      </c>
      <c r="BH73" s="105">
        <f t="shared" si="73"/>
        <v>-3.4128664618725546E-3</v>
      </c>
      <c r="BI73" s="10"/>
      <c r="BJ73" s="10"/>
    </row>
    <row r="74" spans="1:62" ht="14.25" customHeight="1">
      <c r="A74" s="10" t="s">
        <v>95</v>
      </c>
      <c r="B74" s="10" t="s">
        <v>302</v>
      </c>
      <c r="C74" s="10" t="s">
        <v>303</v>
      </c>
      <c r="D74" s="10" t="s">
        <v>303</v>
      </c>
      <c r="E74" s="31">
        <v>2139877000</v>
      </c>
      <c r="F74" s="39">
        <v>0</v>
      </c>
      <c r="G74" s="40">
        <f t="shared" si="0"/>
        <v>0</v>
      </c>
      <c r="H74" s="10"/>
      <c r="I74" s="10"/>
      <c r="J74" s="10"/>
      <c r="K74" s="10"/>
      <c r="L74" s="10" t="s">
        <v>1013</v>
      </c>
      <c r="M74" s="135"/>
      <c r="N74" s="342">
        <f t="shared" si="88"/>
        <v>6.6712383005057569E-3</v>
      </c>
      <c r="O74" s="342">
        <f t="shared" si="87"/>
        <v>5.7099365180699451E-3</v>
      </c>
      <c r="P74" s="342">
        <f t="shared" si="87"/>
        <v>8.0837809209716102E-3</v>
      </c>
      <c r="Q74" s="342">
        <f t="shared" si="87"/>
        <v>7.343071062604155E-3</v>
      </c>
      <c r="R74" s="342">
        <f t="shared" si="87"/>
        <v>4.4972134144289303E-3</v>
      </c>
      <c r="S74" s="342">
        <f t="shared" si="87"/>
        <v>4.8324651573205786E-3</v>
      </c>
      <c r="T74" s="342">
        <f t="shared" si="87"/>
        <v>6.5984386311609636E-3</v>
      </c>
      <c r="U74" s="342">
        <f t="shared" si="87"/>
        <v>7.2229114548793489E-3</v>
      </c>
      <c r="V74" s="342">
        <f t="shared" si="87"/>
        <v>6.4509607897441004E-3</v>
      </c>
      <c r="W74" s="342">
        <f t="shared" si="87"/>
        <v>6.8322608389670891E-3</v>
      </c>
      <c r="X74" s="342">
        <f t="shared" si="87"/>
        <v>7.9431614502213192E-3</v>
      </c>
      <c r="Y74" s="342">
        <f t="shared" si="87"/>
        <v>1.6497125987569718E-2</v>
      </c>
      <c r="Z74" s="342">
        <f t="shared" si="87"/>
        <v>2.5600373089909637E-3</v>
      </c>
      <c r="AA74" s="342">
        <f t="shared" si="87"/>
        <v>3.3134564444845156E-4</v>
      </c>
      <c r="AB74" s="342">
        <f t="shared" si="87"/>
        <v>-1.1458866308086809E-3</v>
      </c>
      <c r="AC74" s="342">
        <f t="shared" si="87"/>
        <v>4.2743926391951943E-3</v>
      </c>
      <c r="AD74" s="342">
        <f t="shared" si="87"/>
        <v>4.844858292421238E-4</v>
      </c>
      <c r="AE74" s="342">
        <f t="shared" si="87"/>
        <v>-4.1212093932149415E-4</v>
      </c>
      <c r="AF74" s="342">
        <f t="shared" si="87"/>
        <v>1.3823636230926816E-3</v>
      </c>
      <c r="AG74" s="342">
        <f t="shared" si="87"/>
        <v>1.4239015796898029E-3</v>
      </c>
      <c r="AH74" s="342">
        <f t="shared" si="87"/>
        <v>1.0972189995529535E-3</v>
      </c>
      <c r="AI74" s="342">
        <f t="shared" si="87"/>
        <v>1.6545243338109375E-3</v>
      </c>
      <c r="AJ74" s="342">
        <f t="shared" si="87"/>
        <v>2.3012020472776428E-3</v>
      </c>
      <c r="AK74" s="342">
        <f t="shared" si="87"/>
        <v>2.2373880302696543E-3</v>
      </c>
      <c r="AL74" s="342">
        <f t="shared" si="87"/>
        <v>-3.7278496562192474E-2</v>
      </c>
      <c r="AM74" s="10"/>
      <c r="AN74" s="10"/>
      <c r="AO74" s="100">
        <v>40724</v>
      </c>
      <c r="AP74" s="101">
        <v>72010.799999999988</v>
      </c>
      <c r="AQ74" s="6">
        <v>12342.014850113479</v>
      </c>
      <c r="AR74" s="103">
        <f t="shared" si="64"/>
        <v>84352.814850113471</v>
      </c>
      <c r="AS74" s="101">
        <v>72010.799999999988</v>
      </c>
      <c r="AT74" s="6">
        <v>12342.014850113479</v>
      </c>
      <c r="AU74" s="103">
        <f t="shared" si="65"/>
        <v>84352.814850113471</v>
      </c>
      <c r="AV74" s="101">
        <v>72010.799999999988</v>
      </c>
      <c r="AW74" s="6">
        <v>12342.014850113479</v>
      </c>
      <c r="AX74" s="103">
        <f t="shared" si="66"/>
        <v>84352.814850113471</v>
      </c>
      <c r="AY74" s="122">
        <f t="shared" si="67"/>
        <v>0.17393827124904102</v>
      </c>
      <c r="AZ74" s="100">
        <v>40724</v>
      </c>
      <c r="BA74" s="105">
        <f t="shared" si="68"/>
        <v>2.6164087106390843E-2</v>
      </c>
      <c r="BB74" s="105">
        <f t="shared" si="69"/>
        <v>2.6164087106390843E-2</v>
      </c>
      <c r="BC74" s="105">
        <f t="shared" si="70"/>
        <v>2.6164087106390843E-2</v>
      </c>
      <c r="BD74" s="10"/>
      <c r="BE74" s="100">
        <v>40724</v>
      </c>
      <c r="BF74" s="105">
        <f t="shared" si="71"/>
        <v>8.9997341418752708E-3</v>
      </c>
      <c r="BG74" s="105">
        <f t="shared" si="72"/>
        <v>8.9997341418752708E-3</v>
      </c>
      <c r="BH74" s="105">
        <f t="shared" si="73"/>
        <v>8.9997341418752708E-3</v>
      </c>
      <c r="BI74" s="10"/>
      <c r="BJ74" s="10"/>
    </row>
    <row r="75" spans="1:62" ht="14.25" customHeight="1">
      <c r="A75" s="10" t="s">
        <v>95</v>
      </c>
      <c r="B75" s="10" t="s">
        <v>304</v>
      </c>
      <c r="C75" s="10" t="s">
        <v>305</v>
      </c>
      <c r="D75" s="10" t="s">
        <v>306</v>
      </c>
      <c r="E75" s="31">
        <v>9606000</v>
      </c>
      <c r="F75" s="39">
        <v>-0.3</v>
      </c>
      <c r="G75" s="40">
        <f t="shared" si="0"/>
        <v>-2881800</v>
      </c>
      <c r="H75" s="10"/>
      <c r="I75" s="10"/>
      <c r="J75" s="10"/>
      <c r="K75" s="10"/>
      <c r="L75" s="10" t="s">
        <v>1014</v>
      </c>
      <c r="M75" s="135"/>
      <c r="N75" s="342">
        <f t="shared" si="88"/>
        <v>2.8787707250432094E-2</v>
      </c>
      <c r="O75" s="342">
        <f t="shared" si="87"/>
        <v>2.5681626107104418E-2</v>
      </c>
      <c r="P75" s="342">
        <f t="shared" si="87"/>
        <v>3.8245932465907899E-2</v>
      </c>
      <c r="Q75" s="342">
        <f t="shared" si="87"/>
        <v>1.8831184867042418E-2</v>
      </c>
      <c r="R75" s="342">
        <f t="shared" si="87"/>
        <v>9.8631013686601172E-3</v>
      </c>
      <c r="S75" s="342">
        <f t="shared" si="87"/>
        <v>-4.8888194576783284E-3</v>
      </c>
      <c r="T75" s="342">
        <f t="shared" si="87"/>
        <v>6.078686743382529E-3</v>
      </c>
      <c r="U75" s="342">
        <f t="shared" si="87"/>
        <v>1.0968366880936371E-2</v>
      </c>
      <c r="V75" s="342">
        <f t="shared" si="87"/>
        <v>1.2324336660055283E-2</v>
      </c>
      <c r="W75" s="342">
        <f t="shared" si="87"/>
        <v>5.6812766231695974E-3</v>
      </c>
      <c r="X75" s="342">
        <f t="shared" si="87"/>
        <v>8.0813029363817311E-3</v>
      </c>
      <c r="Y75" s="342">
        <f t="shared" si="87"/>
        <v>1.4586710012311325E-2</v>
      </c>
      <c r="Z75" s="342">
        <f t="shared" si="87"/>
        <v>9.2600562474925742E-3</v>
      </c>
      <c r="AA75" s="342">
        <f t="shared" si="87"/>
        <v>7.7457224555160407E-3</v>
      </c>
      <c r="AB75" s="342">
        <f t="shared" si="87"/>
        <v>2.1983082716159129E-3</v>
      </c>
      <c r="AC75" s="342">
        <f t="shared" si="87"/>
        <v>-5.913903516702744E-4</v>
      </c>
      <c r="AD75" s="342">
        <f t="shared" si="87"/>
        <v>-1.7935547214172748E-3</v>
      </c>
      <c r="AE75" s="342">
        <f t="shared" si="87"/>
        <v>-3.5271220772459927E-3</v>
      </c>
      <c r="AF75" s="342">
        <f t="shared" si="87"/>
        <v>-4.1275861336228343E-4</v>
      </c>
      <c r="AG75" s="342">
        <f t="shared" si="87"/>
        <v>1.4967703315757123E-3</v>
      </c>
      <c r="AH75" s="342">
        <f t="shared" si="87"/>
        <v>6.1502627349523916E-3</v>
      </c>
      <c r="AI75" s="342">
        <f t="shared" si="87"/>
        <v>5.6568072152776766E-3</v>
      </c>
      <c r="AJ75" s="342">
        <f t="shared" si="87"/>
        <v>8.3705085628119277E-3</v>
      </c>
      <c r="AK75" s="342">
        <f t="shared" si="87"/>
        <v>8.2570268977129567E-3</v>
      </c>
      <c r="AL75" s="342">
        <f t="shared" si="87"/>
        <v>-3.065174592988018E-3</v>
      </c>
      <c r="AM75" s="10"/>
      <c r="AN75" s="10"/>
      <c r="AO75" s="100">
        <v>40816</v>
      </c>
      <c r="AP75" s="101">
        <v>76992.099999999991</v>
      </c>
      <c r="AQ75" s="6">
        <v>14278.959563508204</v>
      </c>
      <c r="AR75" s="103">
        <f t="shared" si="64"/>
        <v>91271.059563508199</v>
      </c>
      <c r="AS75" s="101">
        <v>76992.099999999991</v>
      </c>
      <c r="AT75" s="6">
        <v>14278.959563508204</v>
      </c>
      <c r="AU75" s="103">
        <f t="shared" si="65"/>
        <v>91271.059563508199</v>
      </c>
      <c r="AV75" s="101">
        <v>76992.099999999991</v>
      </c>
      <c r="AW75" s="6">
        <v>14278.959563508204</v>
      </c>
      <c r="AX75" s="103">
        <f t="shared" si="66"/>
        <v>91271.059563508199</v>
      </c>
      <c r="AY75" s="122">
        <f t="shared" si="67"/>
        <v>0.17154911676631673</v>
      </c>
      <c r="AZ75" s="100">
        <v>40816</v>
      </c>
      <c r="BA75" s="105">
        <f t="shared" si="68"/>
        <v>1.5022709323893269E-2</v>
      </c>
      <c r="BB75" s="105">
        <f t="shared" si="69"/>
        <v>1.5022709323893269E-2</v>
      </c>
      <c r="BC75" s="105">
        <f t="shared" si="70"/>
        <v>1.5022709323893269E-2</v>
      </c>
      <c r="BD75" s="10"/>
      <c r="BE75" s="100">
        <v>40816</v>
      </c>
      <c r="BF75" s="105">
        <f t="shared" si="71"/>
        <v>8.2991897817115134E-3</v>
      </c>
      <c r="BG75" s="105">
        <f t="shared" si="72"/>
        <v>8.2991897817115134E-3</v>
      </c>
      <c r="BH75" s="105">
        <f t="shared" si="73"/>
        <v>8.2991897817115134E-3</v>
      </c>
      <c r="BI75" s="10"/>
      <c r="BJ75" s="10"/>
    </row>
    <row r="76" spans="1:62" ht="14.25" customHeight="1">
      <c r="A76" s="10" t="s">
        <v>95</v>
      </c>
      <c r="B76" s="10" t="s">
        <v>304</v>
      </c>
      <c r="C76" s="10" t="s">
        <v>305</v>
      </c>
      <c r="D76" s="10" t="s">
        <v>307</v>
      </c>
      <c r="E76" s="31">
        <v>203531000</v>
      </c>
      <c r="F76" s="39">
        <v>-0.3</v>
      </c>
      <c r="G76" s="40">
        <f t="shared" si="0"/>
        <v>-61059300</v>
      </c>
      <c r="H76" s="10"/>
      <c r="I76" s="10"/>
      <c r="J76" s="10"/>
      <c r="K76" s="10"/>
      <c r="L76" s="339" t="s">
        <v>76</v>
      </c>
      <c r="M76" s="341"/>
      <c r="N76" s="343">
        <f>N65/M65-1</f>
        <v>0.11351845501427094</v>
      </c>
      <c r="O76" s="343">
        <f t="shared" ref="O76:AL76" si="89">O65/N65-1</f>
        <v>0.13955871150447741</v>
      </c>
      <c r="P76" s="343">
        <f t="shared" si="89"/>
        <v>8.8287435870199271E-2</v>
      </c>
      <c r="Q76" s="343">
        <f t="shared" si="89"/>
        <v>3.2115452708957104E-2</v>
      </c>
      <c r="R76" s="343">
        <f t="shared" si="89"/>
        <v>6.7390903787527767E-2</v>
      </c>
      <c r="S76" s="343">
        <f t="shared" si="89"/>
        <v>7.8032844634599474E-2</v>
      </c>
      <c r="T76" s="343">
        <f t="shared" si="89"/>
        <v>9.5642115420813134E-2</v>
      </c>
      <c r="U76" s="343">
        <f t="shared" si="89"/>
        <v>0.11074738010126906</v>
      </c>
      <c r="V76" s="343">
        <f t="shared" si="89"/>
        <v>8.7467240933504442E-2</v>
      </c>
      <c r="W76" s="343">
        <f t="shared" si="89"/>
        <v>7.6815495927771815E-2</v>
      </c>
      <c r="X76" s="343">
        <f t="shared" si="89"/>
        <v>8.8408764686281227E-2</v>
      </c>
      <c r="Y76" s="343">
        <f t="shared" si="89"/>
        <v>0.10277863765460626</v>
      </c>
      <c r="Z76" s="343">
        <f t="shared" si="89"/>
        <v>7.7146375191916583E-2</v>
      </c>
      <c r="AA76" s="343">
        <f t="shared" si="89"/>
        <v>-3.6029089567250483E-2</v>
      </c>
      <c r="AB76" s="343">
        <f t="shared" si="89"/>
        <v>-1.3708862543564959E-2</v>
      </c>
      <c r="AC76" s="343">
        <f t="shared" si="89"/>
        <v>1.9100386807610503E-2</v>
      </c>
      <c r="AD76" s="343">
        <f t="shared" si="89"/>
        <v>-2.1475412704739405E-2</v>
      </c>
      <c r="AE76" s="343">
        <f t="shared" si="89"/>
        <v>-7.7440565725717114E-3</v>
      </c>
      <c r="AF76" s="343">
        <f t="shared" si="89"/>
        <v>5.328950981229319E-4</v>
      </c>
      <c r="AG76" s="343">
        <f t="shared" si="89"/>
        <v>1.845901320346055E-2</v>
      </c>
      <c r="AH76" s="343">
        <f t="shared" si="89"/>
        <v>3.400367630562684E-2</v>
      </c>
      <c r="AI76" s="343">
        <f t="shared" si="89"/>
        <v>3.9933403573662263E-2</v>
      </c>
      <c r="AJ76" s="343">
        <f t="shared" si="89"/>
        <v>4.0399297902909526E-2</v>
      </c>
      <c r="AK76" s="343">
        <f t="shared" si="89"/>
        <v>4.2395513809061924E-2</v>
      </c>
      <c r="AL76" s="343">
        <f t="shared" si="89"/>
        <v>-0.19939583113316373</v>
      </c>
      <c r="AM76" s="10"/>
      <c r="AN76" s="10"/>
      <c r="AO76" s="100">
        <v>40908</v>
      </c>
      <c r="AP76" s="101">
        <v>70656.800000000003</v>
      </c>
      <c r="AQ76" s="6">
        <v>12092.366420864297</v>
      </c>
      <c r="AR76" s="103">
        <f t="shared" si="64"/>
        <v>82749.166420864305</v>
      </c>
      <c r="AS76" s="101">
        <v>70656.800000000003</v>
      </c>
      <c r="AT76" s="6">
        <v>12092.366420864297</v>
      </c>
      <c r="AU76" s="103">
        <f t="shared" si="65"/>
        <v>82749.166420864305</v>
      </c>
      <c r="AV76" s="101">
        <v>70656.800000000003</v>
      </c>
      <c r="AW76" s="6">
        <v>12092.366420864297</v>
      </c>
      <c r="AX76" s="103">
        <f t="shared" si="66"/>
        <v>82749.166420864305</v>
      </c>
      <c r="AY76" s="122">
        <f t="shared" si="67"/>
        <v>0.17130069311707311</v>
      </c>
      <c r="AZ76" s="100">
        <v>40908</v>
      </c>
      <c r="BA76" s="105">
        <f t="shared" si="68"/>
        <v>1.3685336335493181E-2</v>
      </c>
      <c r="BB76" s="105">
        <f t="shared" si="69"/>
        <v>1.3685336335493181E-2</v>
      </c>
      <c r="BC76" s="105">
        <f t="shared" si="70"/>
        <v>1.3685336335493181E-2</v>
      </c>
      <c r="BD76" s="10"/>
      <c r="BE76" s="100">
        <v>40908</v>
      </c>
      <c r="BF76" s="105">
        <f t="shared" si="71"/>
        <v>1.3351658854457105E-2</v>
      </c>
      <c r="BG76" s="105">
        <f t="shared" si="72"/>
        <v>1.3351658854457105E-2</v>
      </c>
      <c r="BH76" s="105">
        <f t="shared" si="73"/>
        <v>1.3351658854457105E-2</v>
      </c>
      <c r="BI76" s="10"/>
      <c r="BJ76" s="10"/>
    </row>
    <row r="77" spans="1:62" ht="14.25" customHeight="1">
      <c r="A77" s="10" t="s">
        <v>95</v>
      </c>
      <c r="B77" s="10" t="s">
        <v>304</v>
      </c>
      <c r="C77" s="10" t="s">
        <v>308</v>
      </c>
      <c r="D77" s="10" t="s">
        <v>309</v>
      </c>
      <c r="E77" s="31">
        <v>285916000</v>
      </c>
      <c r="F77" s="39">
        <v>-0.3</v>
      </c>
      <c r="G77" s="40">
        <f t="shared" si="0"/>
        <v>-85774800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0">
        <v>40999</v>
      </c>
      <c r="AP77" s="101">
        <v>63732.599999999991</v>
      </c>
      <c r="AQ77" s="6">
        <v>10870.810291809274</v>
      </c>
      <c r="AR77" s="103">
        <f t="shared" si="64"/>
        <v>74603.410291809269</v>
      </c>
      <c r="AS77" s="101">
        <v>63732.599999999991</v>
      </c>
      <c r="AT77" s="6">
        <v>10870.810291809274</v>
      </c>
      <c r="AU77" s="103">
        <f t="shared" si="65"/>
        <v>74603.410291809269</v>
      </c>
      <c r="AV77" s="101">
        <v>63732.599999999991</v>
      </c>
      <c r="AW77" s="6">
        <v>10870.810291809274</v>
      </c>
      <c r="AX77" s="103">
        <f t="shared" si="66"/>
        <v>74603.410291809269</v>
      </c>
      <c r="AY77" s="122">
        <f t="shared" si="67"/>
        <v>0.17496647271748481</v>
      </c>
      <c r="AZ77" s="100">
        <v>40999</v>
      </c>
      <c r="BA77" s="105">
        <f t="shared" si="68"/>
        <v>-3.1829270294887468E-3</v>
      </c>
      <c r="BB77" s="105">
        <f t="shared" si="69"/>
        <v>-3.1829270294887468E-3</v>
      </c>
      <c r="BC77" s="105">
        <f t="shared" si="70"/>
        <v>-3.1829270294887468E-3</v>
      </c>
      <c r="BD77" s="10"/>
      <c r="BE77" s="100">
        <v>40999</v>
      </c>
      <c r="BF77" s="105">
        <f t="shared" si="71"/>
        <v>1.3331064709452445E-2</v>
      </c>
      <c r="BG77" s="105">
        <f t="shared" si="72"/>
        <v>1.3331064709452445E-2</v>
      </c>
      <c r="BH77" s="105">
        <f t="shared" si="73"/>
        <v>1.3331064709452445E-2</v>
      </c>
      <c r="BI77" s="10"/>
      <c r="BJ77" s="10"/>
    </row>
    <row r="78" spans="1:62" ht="14.25" customHeight="1">
      <c r="A78" s="10" t="s">
        <v>95</v>
      </c>
      <c r="B78" s="10" t="s">
        <v>304</v>
      </c>
      <c r="C78" s="10" t="s">
        <v>308</v>
      </c>
      <c r="D78" s="10" t="s">
        <v>310</v>
      </c>
      <c r="E78" s="31">
        <v>322291000</v>
      </c>
      <c r="F78" s="39">
        <v>-0.3</v>
      </c>
      <c r="G78" s="40">
        <f t="shared" si="0"/>
        <v>-96687300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0">
        <v>41090</v>
      </c>
      <c r="AP78" s="101">
        <v>70088.100000000006</v>
      </c>
      <c r="AQ78" s="6">
        <v>13143.207648728985</v>
      </c>
      <c r="AR78" s="103">
        <f t="shared" si="64"/>
        <v>83231.307648728995</v>
      </c>
      <c r="AS78" s="101">
        <v>70088.100000000006</v>
      </c>
      <c r="AT78" s="6">
        <v>13143.207648728985</v>
      </c>
      <c r="AU78" s="103">
        <f t="shared" si="65"/>
        <v>83231.307648728995</v>
      </c>
      <c r="AV78" s="101">
        <v>70088.100000000006</v>
      </c>
      <c r="AW78" s="6">
        <v>13143.207648728985</v>
      </c>
      <c r="AX78" s="103">
        <f t="shared" si="66"/>
        <v>83231.307648728995</v>
      </c>
      <c r="AY78" s="122">
        <f t="shared" si="67"/>
        <v>0.17900811997072069</v>
      </c>
      <c r="AZ78" s="100">
        <v>41090</v>
      </c>
      <c r="BA78" s="105">
        <f t="shared" si="68"/>
        <v>-1.3295433037738946E-2</v>
      </c>
      <c r="BB78" s="105">
        <f t="shared" si="69"/>
        <v>-1.3295433037738946E-2</v>
      </c>
      <c r="BC78" s="105">
        <f t="shared" si="70"/>
        <v>-1.3295433037738946E-2</v>
      </c>
      <c r="BD78" s="10"/>
      <c r="BE78" s="100">
        <v>41090</v>
      </c>
      <c r="BF78" s="105">
        <f t="shared" si="71"/>
        <v>3.3508548552854123E-3</v>
      </c>
      <c r="BG78" s="105">
        <f t="shared" si="72"/>
        <v>3.3508548552854123E-3</v>
      </c>
      <c r="BH78" s="105">
        <f t="shared" si="73"/>
        <v>3.3508548552854123E-3</v>
      </c>
      <c r="BI78" s="10"/>
      <c r="BJ78" s="10"/>
    </row>
    <row r="79" spans="1:62" ht="14.25" customHeight="1">
      <c r="A79" s="10" t="s">
        <v>95</v>
      </c>
      <c r="B79" s="10" t="s">
        <v>304</v>
      </c>
      <c r="C79" s="10" t="s">
        <v>308</v>
      </c>
      <c r="D79" s="10" t="s">
        <v>311</v>
      </c>
      <c r="E79" s="31">
        <v>486440000</v>
      </c>
      <c r="F79" s="39">
        <v>-0.3</v>
      </c>
      <c r="G79" s="40">
        <f t="shared" si="0"/>
        <v>-145932000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0">
        <v>41182</v>
      </c>
      <c r="AP79" s="101">
        <v>75706.400000000009</v>
      </c>
      <c r="AQ79" s="6">
        <v>15047.168800748663</v>
      </c>
      <c r="AR79" s="103">
        <f t="shared" si="64"/>
        <v>90753.568800748675</v>
      </c>
      <c r="AS79" s="101">
        <v>75706.400000000009</v>
      </c>
      <c r="AT79" s="6">
        <v>15047.168800748663</v>
      </c>
      <c r="AU79" s="103">
        <f t="shared" si="65"/>
        <v>90753.568800748675</v>
      </c>
      <c r="AV79" s="101">
        <v>75706.400000000009</v>
      </c>
      <c r="AW79" s="6">
        <v>15047.168800748663</v>
      </c>
      <c r="AX79" s="103">
        <f t="shared" si="66"/>
        <v>90753.568800748675</v>
      </c>
      <c r="AY79" s="122">
        <f t="shared" si="67"/>
        <v>0.18257135103819747</v>
      </c>
      <c r="AZ79" s="100">
        <v>41182</v>
      </c>
      <c r="BA79" s="105">
        <f t="shared" si="68"/>
        <v>-5.6698231096949936E-3</v>
      </c>
      <c r="BB79" s="105">
        <f t="shared" si="69"/>
        <v>-5.6698231096949936E-3</v>
      </c>
      <c r="BC79" s="105">
        <f t="shared" si="70"/>
        <v>-5.6698231096949936E-3</v>
      </c>
      <c r="BD79" s="10"/>
      <c r="BE79" s="100">
        <v>41182</v>
      </c>
      <c r="BF79" s="105">
        <f t="shared" si="71"/>
        <v>-2.288640962477162E-3</v>
      </c>
      <c r="BG79" s="105">
        <f t="shared" si="72"/>
        <v>-2.288640962477162E-3</v>
      </c>
      <c r="BH79" s="105">
        <f t="shared" si="73"/>
        <v>-2.288640962477162E-3</v>
      </c>
      <c r="BI79" s="10"/>
      <c r="BJ79" s="10"/>
    </row>
    <row r="80" spans="1:62" ht="14.25" customHeight="1">
      <c r="A80" s="10" t="s">
        <v>95</v>
      </c>
      <c r="B80" s="10" t="s">
        <v>304</v>
      </c>
      <c r="C80" s="10" t="s">
        <v>308</v>
      </c>
      <c r="D80" s="10" t="s">
        <v>312</v>
      </c>
      <c r="E80" s="31">
        <v>467101000</v>
      </c>
      <c r="F80" s="39">
        <v>-0.3</v>
      </c>
      <c r="G80" s="40">
        <f t="shared" si="0"/>
        <v>-140130300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0">
        <v>41274</v>
      </c>
      <c r="AP80" s="101">
        <v>68846.2</v>
      </c>
      <c r="AQ80" s="6">
        <v>13074.874273545565</v>
      </c>
      <c r="AR80" s="103">
        <f t="shared" si="64"/>
        <v>81921.074273545557</v>
      </c>
      <c r="AS80" s="101">
        <v>68846.2</v>
      </c>
      <c r="AT80" s="6">
        <v>13074.874273545565</v>
      </c>
      <c r="AU80" s="103">
        <f t="shared" si="65"/>
        <v>81921.074273545557</v>
      </c>
      <c r="AV80" s="101">
        <v>68846.2</v>
      </c>
      <c r="AW80" s="6">
        <v>13074.874273545565</v>
      </c>
      <c r="AX80" s="103">
        <f t="shared" si="66"/>
        <v>81921.074273545557</v>
      </c>
      <c r="AY80" s="122">
        <f t="shared" si="67"/>
        <v>0.18728829602132271</v>
      </c>
      <c r="AZ80" s="100">
        <v>41274</v>
      </c>
      <c r="BA80" s="105">
        <f t="shared" si="68"/>
        <v>-1.0007256666575315E-2</v>
      </c>
      <c r="BB80" s="105">
        <f t="shared" si="69"/>
        <v>-1.0007256666575315E-2</v>
      </c>
      <c r="BC80" s="105">
        <f t="shared" si="70"/>
        <v>-1.0007256666575315E-2</v>
      </c>
      <c r="BD80" s="10"/>
      <c r="BE80" s="100">
        <v>41274</v>
      </c>
      <c r="BF80" s="105">
        <f t="shared" si="71"/>
        <v>-8.1188069326159074E-3</v>
      </c>
      <c r="BG80" s="105">
        <f t="shared" si="72"/>
        <v>-8.1188069326159074E-3</v>
      </c>
      <c r="BH80" s="105">
        <f t="shared" si="73"/>
        <v>-8.1188069326159074E-3</v>
      </c>
      <c r="BI80" s="10"/>
      <c r="BJ80" s="10"/>
    </row>
    <row r="81" spans="1:62" ht="14.25" customHeight="1">
      <c r="A81" s="10" t="s">
        <v>95</v>
      </c>
      <c r="B81" s="10" t="s">
        <v>313</v>
      </c>
      <c r="C81" s="10" t="s">
        <v>314</v>
      </c>
      <c r="D81" s="10" t="s">
        <v>315</v>
      </c>
      <c r="E81" s="31">
        <v>152964000</v>
      </c>
      <c r="F81" s="39">
        <v>-0.3</v>
      </c>
      <c r="G81" s="40">
        <f t="shared" si="0"/>
        <v>-45889200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0">
        <v>41364</v>
      </c>
      <c r="AP81" s="101">
        <v>63740.599999999991</v>
      </c>
      <c r="AQ81" s="6">
        <v>11541.819040607556</v>
      </c>
      <c r="AR81" s="103">
        <f t="shared" si="64"/>
        <v>75282.41904060755</v>
      </c>
      <c r="AS81" s="101">
        <v>63740.599999999991</v>
      </c>
      <c r="AT81" s="6">
        <v>11541.819040607556</v>
      </c>
      <c r="AU81" s="103">
        <f t="shared" si="65"/>
        <v>75282.41904060755</v>
      </c>
      <c r="AV81" s="101">
        <v>63740.599999999991</v>
      </c>
      <c r="AW81" s="6">
        <v>11541.819040607556</v>
      </c>
      <c r="AX81" s="103">
        <f t="shared" si="66"/>
        <v>75282.41904060755</v>
      </c>
      <c r="AY81" s="122">
        <f t="shared" si="67"/>
        <v>0.18969330829201092</v>
      </c>
      <c r="AZ81" s="100">
        <v>41364</v>
      </c>
      <c r="BA81" s="105">
        <f t="shared" si="68"/>
        <v>9.101577878844358E-3</v>
      </c>
      <c r="BB81" s="105">
        <f t="shared" si="69"/>
        <v>9.101577878844358E-3</v>
      </c>
      <c r="BC81" s="105">
        <f t="shared" si="70"/>
        <v>9.101577878844358E-3</v>
      </c>
      <c r="BD81" s="10"/>
      <c r="BE81" s="100">
        <v>41364</v>
      </c>
      <c r="BF81" s="105">
        <f t="shared" si="71"/>
        <v>-5.3699934533396609E-3</v>
      </c>
      <c r="BG81" s="105">
        <f t="shared" si="72"/>
        <v>-5.3699934533396609E-3</v>
      </c>
      <c r="BH81" s="105">
        <f t="shared" si="73"/>
        <v>-5.3699934533396609E-3</v>
      </c>
      <c r="BI81" s="10"/>
      <c r="BJ81" s="10"/>
    </row>
    <row r="82" spans="1:62" ht="14.25" customHeight="1">
      <c r="A82" s="10" t="s">
        <v>95</v>
      </c>
      <c r="B82" s="10" t="s">
        <v>313</v>
      </c>
      <c r="C82" s="10" t="s">
        <v>314</v>
      </c>
      <c r="D82" s="10" t="s">
        <v>319</v>
      </c>
      <c r="E82" s="31">
        <v>100551000</v>
      </c>
      <c r="F82" s="39">
        <v>-0.3</v>
      </c>
      <c r="G82" s="40">
        <f t="shared" si="0"/>
        <v>-30165300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0">
        <v>41455</v>
      </c>
      <c r="AP82" s="101">
        <v>69733.199999999983</v>
      </c>
      <c r="AQ82" s="6">
        <v>14479.384220093209</v>
      </c>
      <c r="AR82" s="103">
        <f t="shared" si="64"/>
        <v>84212.584220093195</v>
      </c>
      <c r="AS82" s="101">
        <v>69733.199999999983</v>
      </c>
      <c r="AT82" s="6">
        <v>14479.384220093209</v>
      </c>
      <c r="AU82" s="103">
        <f t="shared" si="65"/>
        <v>84212.584220093195</v>
      </c>
      <c r="AV82" s="101">
        <v>69733.199999999983</v>
      </c>
      <c r="AW82" s="6">
        <v>14479.384220093209</v>
      </c>
      <c r="AX82" s="103">
        <f t="shared" si="66"/>
        <v>84212.584220093195</v>
      </c>
      <c r="AY82" s="122">
        <f t="shared" si="67"/>
        <v>0.19474138547632525</v>
      </c>
      <c r="AZ82" s="100">
        <v>41455</v>
      </c>
      <c r="BA82" s="105">
        <f t="shared" si="68"/>
        <v>1.1789753148005344E-2</v>
      </c>
      <c r="BB82" s="105">
        <f t="shared" si="69"/>
        <v>1.1789753148005344E-2</v>
      </c>
      <c r="BC82" s="105">
        <f t="shared" si="70"/>
        <v>1.1789753148005344E-2</v>
      </c>
      <c r="BD82" s="10"/>
      <c r="BE82" s="100">
        <v>41455</v>
      </c>
      <c r="BF82" s="105">
        <f t="shared" si="71"/>
        <v>9.4831315864163379E-4</v>
      </c>
      <c r="BG82" s="105">
        <f t="shared" si="72"/>
        <v>9.4831315864163379E-4</v>
      </c>
      <c r="BH82" s="105">
        <f t="shared" si="73"/>
        <v>9.4831315864163379E-4</v>
      </c>
      <c r="BI82" s="10"/>
      <c r="BJ82" s="10"/>
    </row>
    <row r="83" spans="1:62" ht="14.25" customHeight="1">
      <c r="A83" s="10" t="s">
        <v>95</v>
      </c>
      <c r="B83" s="10" t="s">
        <v>313</v>
      </c>
      <c r="C83" s="10" t="s">
        <v>320</v>
      </c>
      <c r="D83" s="10" t="s">
        <v>320</v>
      </c>
      <c r="E83" s="31">
        <v>1247000</v>
      </c>
      <c r="F83" s="39">
        <v>-0.3</v>
      </c>
      <c r="G83" s="40">
        <f t="shared" si="0"/>
        <v>-374100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0">
        <v>41547</v>
      </c>
      <c r="AP83" s="101">
        <v>74905.399999999994</v>
      </c>
      <c r="AQ83" s="6">
        <v>15478.339419976895</v>
      </c>
      <c r="AR83" s="103">
        <f t="shared" si="64"/>
        <v>90383.73941997689</v>
      </c>
      <c r="AS83" s="101">
        <v>74905.399999999994</v>
      </c>
      <c r="AT83" s="6">
        <v>15478.339419976895</v>
      </c>
      <c r="AU83" s="103">
        <f t="shared" si="65"/>
        <v>90383.73941997689</v>
      </c>
      <c r="AV83" s="101">
        <v>74905.399999999994</v>
      </c>
      <c r="AW83" s="6">
        <v>15478.339419976895</v>
      </c>
      <c r="AX83" s="103">
        <f t="shared" si="66"/>
        <v>90383.73941997689</v>
      </c>
      <c r="AY83" s="122">
        <f t="shared" si="67"/>
        <v>0.19685936769943604</v>
      </c>
      <c r="AZ83" s="100">
        <v>41547</v>
      </c>
      <c r="BA83" s="105">
        <f t="shared" si="68"/>
        <v>-4.0750946288817813E-3</v>
      </c>
      <c r="BB83" s="105">
        <f t="shared" si="69"/>
        <v>-4.0750946288817813E-3</v>
      </c>
      <c r="BC83" s="105">
        <f t="shared" si="70"/>
        <v>-4.0750946288817813E-3</v>
      </c>
      <c r="BD83" s="10"/>
      <c r="BE83" s="100">
        <v>41547</v>
      </c>
      <c r="BF83" s="105">
        <f t="shared" si="71"/>
        <v>1.395446810070311E-3</v>
      </c>
      <c r="BG83" s="105">
        <f t="shared" si="72"/>
        <v>1.395446810070311E-3</v>
      </c>
      <c r="BH83" s="105">
        <f t="shared" si="73"/>
        <v>1.395446810070311E-3</v>
      </c>
      <c r="BI83" s="10"/>
      <c r="BJ83" s="10"/>
    </row>
    <row r="84" spans="1:62" ht="14.25" customHeight="1">
      <c r="A84" s="10" t="s">
        <v>95</v>
      </c>
      <c r="B84" s="10" t="s">
        <v>313</v>
      </c>
      <c r="C84" s="10" t="s">
        <v>321</v>
      </c>
      <c r="D84" s="10" t="s">
        <v>322</v>
      </c>
      <c r="E84" s="31">
        <v>17311000</v>
      </c>
      <c r="F84" s="39">
        <v>-0.3</v>
      </c>
      <c r="G84" s="40">
        <f t="shared" si="0"/>
        <v>-5193300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0">
        <v>41639</v>
      </c>
      <c r="AP84" s="101">
        <v>67838.299999999988</v>
      </c>
      <c r="AQ84" s="6">
        <v>13491.90555594565</v>
      </c>
      <c r="AR84" s="103">
        <f t="shared" si="64"/>
        <v>81330.205555945635</v>
      </c>
      <c r="AS84" s="101">
        <v>67838.299999999988</v>
      </c>
      <c r="AT84" s="6">
        <v>13491.90555594565</v>
      </c>
      <c r="AU84" s="103">
        <f t="shared" si="65"/>
        <v>81330.205555945635</v>
      </c>
      <c r="AV84" s="101">
        <v>67838.299999999988</v>
      </c>
      <c r="AW84" s="6">
        <v>13491.90555594565</v>
      </c>
      <c r="AX84" s="103">
        <f t="shared" si="66"/>
        <v>81330.205555945635</v>
      </c>
      <c r="AY84" s="122">
        <f t="shared" si="67"/>
        <v>0.1990874880723463</v>
      </c>
      <c r="AZ84" s="100">
        <v>41639</v>
      </c>
      <c r="BA84" s="105">
        <f t="shared" si="68"/>
        <v>-7.212658315819076E-3</v>
      </c>
      <c r="BB84" s="105">
        <f t="shared" si="69"/>
        <v>-7.212658315819076E-3</v>
      </c>
      <c r="BC84" s="105">
        <f t="shared" si="70"/>
        <v>-7.212658315819076E-3</v>
      </c>
      <c r="BD84" s="10"/>
      <c r="BE84" s="100">
        <v>41639</v>
      </c>
      <c r="BF84" s="105">
        <f t="shared" si="71"/>
        <v>2.1166941221957281E-3</v>
      </c>
      <c r="BG84" s="105">
        <f t="shared" si="72"/>
        <v>2.1166941221957281E-3</v>
      </c>
      <c r="BH84" s="105">
        <f t="shared" si="73"/>
        <v>2.1166941221957281E-3</v>
      </c>
      <c r="BI84" s="10"/>
      <c r="BJ84" s="10"/>
    </row>
    <row r="85" spans="1:62" ht="14.25" customHeight="1">
      <c r="A85" s="10" t="s">
        <v>95</v>
      </c>
      <c r="B85" s="10" t="s">
        <v>313</v>
      </c>
      <c r="C85" s="10" t="s">
        <v>321</v>
      </c>
      <c r="D85" s="10" t="s">
        <v>323</v>
      </c>
      <c r="E85" s="31">
        <v>16843000</v>
      </c>
      <c r="F85" s="39">
        <v>-0.3</v>
      </c>
      <c r="G85" s="40">
        <f t="shared" si="0"/>
        <v>-5052900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0">
        <v>41729</v>
      </c>
      <c r="AP85" s="101">
        <v>63331.099999999991</v>
      </c>
      <c r="AQ85" s="6">
        <v>10627.907099205248</v>
      </c>
      <c r="AR85" s="103">
        <f t="shared" si="64"/>
        <v>73959.007099205235</v>
      </c>
      <c r="AS85" s="101">
        <v>63331.099999999991</v>
      </c>
      <c r="AT85" s="6">
        <v>10627.907099205248</v>
      </c>
      <c r="AU85" s="103">
        <f t="shared" si="65"/>
        <v>73959.007099205235</v>
      </c>
      <c r="AV85" s="101">
        <v>63331.099999999991</v>
      </c>
      <c r="AW85" s="6">
        <v>10627.907099205248</v>
      </c>
      <c r="AX85" s="103">
        <f t="shared" si="66"/>
        <v>73959.007099205235</v>
      </c>
      <c r="AY85" s="122">
        <f t="shared" si="67"/>
        <v>0.19606949869191978</v>
      </c>
      <c r="AZ85" s="100">
        <v>41729</v>
      </c>
      <c r="BA85" s="105">
        <f t="shared" si="68"/>
        <v>-1.7579296179211057E-2</v>
      </c>
      <c r="BB85" s="105">
        <f t="shared" si="69"/>
        <v>-1.7579296179211057E-2</v>
      </c>
      <c r="BC85" s="105">
        <f t="shared" si="70"/>
        <v>-1.7579296179211057E-2</v>
      </c>
      <c r="BD85" s="10"/>
      <c r="BE85" s="100">
        <v>41729</v>
      </c>
      <c r="BF85" s="105">
        <f t="shared" si="71"/>
        <v>-3.9338140688324197E-3</v>
      </c>
      <c r="BG85" s="105">
        <f t="shared" si="72"/>
        <v>-3.9338140688324197E-3</v>
      </c>
      <c r="BH85" s="105">
        <f t="shared" si="73"/>
        <v>-3.9338140688324197E-3</v>
      </c>
      <c r="BI85" s="10"/>
      <c r="BJ85" s="10"/>
    </row>
    <row r="86" spans="1:62" ht="14.25" customHeight="1">
      <c r="A86" s="10" t="s">
        <v>95</v>
      </c>
      <c r="B86" s="10" t="s">
        <v>313</v>
      </c>
      <c r="C86" s="10" t="s">
        <v>324</v>
      </c>
      <c r="D86" s="10" t="s">
        <v>325</v>
      </c>
      <c r="E86" s="31">
        <v>549034000</v>
      </c>
      <c r="F86" s="39">
        <v>-0.3</v>
      </c>
      <c r="G86" s="40">
        <f t="shared" si="0"/>
        <v>-164710200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0">
        <v>41820</v>
      </c>
      <c r="AP86" s="101">
        <v>69886</v>
      </c>
      <c r="AQ86" s="6">
        <v>13879.758019774375</v>
      </c>
      <c r="AR86" s="103">
        <f t="shared" si="64"/>
        <v>83765.758019774381</v>
      </c>
      <c r="AS86" s="101">
        <v>69886</v>
      </c>
      <c r="AT86" s="6">
        <v>13879.758019774375</v>
      </c>
      <c r="AU86" s="103">
        <f t="shared" si="65"/>
        <v>83765.758019774381</v>
      </c>
      <c r="AV86" s="101">
        <v>69886</v>
      </c>
      <c r="AW86" s="6">
        <v>13879.758019774375</v>
      </c>
      <c r="AX86" s="103">
        <f t="shared" si="66"/>
        <v>83765.758019774381</v>
      </c>
      <c r="AY86" s="122">
        <f t="shared" si="67"/>
        <v>0.19378806734471768</v>
      </c>
      <c r="AZ86" s="100">
        <v>41820</v>
      </c>
      <c r="BA86" s="105">
        <f t="shared" si="68"/>
        <v>-5.3059314644829936E-3</v>
      </c>
      <c r="BB86" s="105">
        <f t="shared" si="69"/>
        <v>-5.3059314644829936E-3</v>
      </c>
      <c r="BC86" s="105">
        <f t="shared" si="70"/>
        <v>-5.3059314644829936E-3</v>
      </c>
      <c r="BD86" s="10"/>
      <c r="BE86" s="100">
        <v>41820</v>
      </c>
      <c r="BF86" s="105">
        <f t="shared" si="71"/>
        <v>-8.221510514957453E-3</v>
      </c>
      <c r="BG86" s="105">
        <f t="shared" si="72"/>
        <v>-8.221510514957453E-3</v>
      </c>
      <c r="BH86" s="105">
        <f t="shared" si="73"/>
        <v>-8.221510514957453E-3</v>
      </c>
      <c r="BI86" s="10"/>
      <c r="BJ86" s="10"/>
    </row>
    <row r="87" spans="1:62" ht="14.25" customHeight="1">
      <c r="A87" s="10" t="s">
        <v>95</v>
      </c>
      <c r="B87" s="10" t="s">
        <v>313</v>
      </c>
      <c r="C87" s="10" t="s">
        <v>324</v>
      </c>
      <c r="D87" s="10" t="s">
        <v>326</v>
      </c>
      <c r="E87" s="31">
        <v>21016000</v>
      </c>
      <c r="F87" s="39">
        <v>-0.3</v>
      </c>
      <c r="G87" s="40">
        <f t="shared" si="0"/>
        <v>-6304800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0">
        <v>41912</v>
      </c>
      <c r="AP87" s="101">
        <v>74924.499999999985</v>
      </c>
      <c r="AQ87" s="6">
        <v>16325.703693589712</v>
      </c>
      <c r="AR87" s="103">
        <f t="shared" si="64"/>
        <v>91250.20369358969</v>
      </c>
      <c r="AS87" s="101">
        <v>74924.499999999985</v>
      </c>
      <c r="AT87" s="6">
        <v>16325.703693589712</v>
      </c>
      <c r="AU87" s="103">
        <f t="shared" si="65"/>
        <v>91250.20369358969</v>
      </c>
      <c r="AV87" s="101">
        <v>74924.499999999985</v>
      </c>
      <c r="AW87" s="6">
        <v>16325.703693589712</v>
      </c>
      <c r="AX87" s="103">
        <f t="shared" si="66"/>
        <v>91250.20369358969</v>
      </c>
      <c r="AY87" s="122">
        <f t="shared" si="67"/>
        <v>0.19684503968772724</v>
      </c>
      <c r="AZ87" s="100">
        <v>41912</v>
      </c>
      <c r="BA87" s="105">
        <f t="shared" si="68"/>
        <v>9.5865061478226377E-3</v>
      </c>
      <c r="BB87" s="105">
        <f t="shared" si="69"/>
        <v>9.5865061478226377E-3</v>
      </c>
      <c r="BC87" s="105">
        <f t="shared" si="70"/>
        <v>9.5865061478226377E-3</v>
      </c>
      <c r="BD87" s="10"/>
      <c r="BE87" s="100">
        <v>41912</v>
      </c>
      <c r="BF87" s="105">
        <f t="shared" si="71"/>
        <v>-4.5046516282873927E-3</v>
      </c>
      <c r="BG87" s="105">
        <f t="shared" si="72"/>
        <v>-4.5046516282873927E-3</v>
      </c>
      <c r="BH87" s="105">
        <f t="shared" si="73"/>
        <v>-4.5046516282873927E-3</v>
      </c>
      <c r="BI87" s="10"/>
      <c r="BJ87" s="10"/>
    </row>
    <row r="88" spans="1:62" ht="14.25" customHeight="1">
      <c r="A88" s="10" t="s">
        <v>95</v>
      </c>
      <c r="B88" s="10" t="s">
        <v>313</v>
      </c>
      <c r="C88" s="10" t="s">
        <v>327</v>
      </c>
      <c r="D88" s="10" t="s">
        <v>328</v>
      </c>
      <c r="E88" s="31">
        <v>237237000</v>
      </c>
      <c r="F88" s="39">
        <v>-0.3</v>
      </c>
      <c r="G88" s="40">
        <f t="shared" si="0"/>
        <v>-71171100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0">
        <v>42004</v>
      </c>
      <c r="AP88" s="101">
        <v>68223.200000000012</v>
      </c>
      <c r="AQ88" s="6">
        <v>14144.594434625671</v>
      </c>
      <c r="AR88" s="103">
        <f t="shared" si="64"/>
        <v>82367.794434625685</v>
      </c>
      <c r="AS88" s="101">
        <v>68223.200000000012</v>
      </c>
      <c r="AT88" s="6">
        <v>14144.594434625671</v>
      </c>
      <c r="AU88" s="103">
        <f t="shared" si="65"/>
        <v>82367.794434625685</v>
      </c>
      <c r="AV88" s="101">
        <v>68223.200000000012</v>
      </c>
      <c r="AW88" s="6">
        <v>14144.594434625671</v>
      </c>
      <c r="AX88" s="103">
        <f t="shared" si="66"/>
        <v>82367.794434625685</v>
      </c>
      <c r="AY88" s="122">
        <f t="shared" si="67"/>
        <v>0.19893258203358391</v>
      </c>
      <c r="AZ88" s="100">
        <v>42004</v>
      </c>
      <c r="BA88" s="105">
        <f t="shared" si="68"/>
        <v>1.275773092650434E-2</v>
      </c>
      <c r="BB88" s="105">
        <f t="shared" si="69"/>
        <v>1.275773092650434E-2</v>
      </c>
      <c r="BC88" s="105">
        <f t="shared" si="70"/>
        <v>1.275773092650434E-2</v>
      </c>
      <c r="BD88" s="10"/>
      <c r="BE88" s="100">
        <v>42004</v>
      </c>
      <c r="BF88" s="105">
        <f t="shared" si="71"/>
        <v>4.0401991336347365E-4</v>
      </c>
      <c r="BG88" s="105">
        <f t="shared" si="72"/>
        <v>4.0401991336347365E-4</v>
      </c>
      <c r="BH88" s="105">
        <f t="shared" si="73"/>
        <v>4.0401991336347365E-4</v>
      </c>
      <c r="BI88" s="10"/>
      <c r="BJ88" s="10"/>
    </row>
    <row r="89" spans="1:62" ht="14.25" customHeight="1">
      <c r="A89" s="10" t="s">
        <v>95</v>
      </c>
      <c r="B89" s="10" t="s">
        <v>313</v>
      </c>
      <c r="C89" s="10" t="s">
        <v>327</v>
      </c>
      <c r="D89" s="10" t="s">
        <v>331</v>
      </c>
      <c r="E89" s="31">
        <v>85106000</v>
      </c>
      <c r="F89" s="39">
        <v>-0.3</v>
      </c>
      <c r="G89" s="40">
        <f t="shared" si="0"/>
        <v>-25531800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0">
        <v>42094</v>
      </c>
      <c r="AP89" s="101">
        <v>63782.600000000013</v>
      </c>
      <c r="AQ89" s="6">
        <v>11647.75201130887</v>
      </c>
      <c r="AR89" s="103">
        <f t="shared" si="64"/>
        <v>75430.352011308889</v>
      </c>
      <c r="AS89" s="101">
        <v>63782.600000000013</v>
      </c>
      <c r="AT89" s="6">
        <v>11647.75201130887</v>
      </c>
      <c r="AU89" s="103">
        <f t="shared" si="65"/>
        <v>75430.352011308889</v>
      </c>
      <c r="AV89" s="101">
        <v>63782.600000000013</v>
      </c>
      <c r="AW89" s="6">
        <v>11647.75201130887</v>
      </c>
      <c r="AX89" s="103">
        <f t="shared" si="66"/>
        <v>75430.352011308889</v>
      </c>
      <c r="AY89" s="122">
        <f t="shared" si="67"/>
        <v>0.20229230778425483</v>
      </c>
      <c r="AZ89" s="100">
        <v>42094</v>
      </c>
      <c r="BA89" s="105">
        <f t="shared" si="68"/>
        <v>1.9894059828710953E-2</v>
      </c>
      <c r="BB89" s="105">
        <f t="shared" si="69"/>
        <v>1.9894059828710953E-2</v>
      </c>
      <c r="BC89" s="105">
        <f t="shared" si="70"/>
        <v>1.9894059828710953E-2</v>
      </c>
      <c r="BD89" s="10"/>
      <c r="BE89" s="100">
        <v>42094</v>
      </c>
      <c r="BF89" s="105">
        <f t="shared" si="71"/>
        <v>8.8775394549485132E-3</v>
      </c>
      <c r="BG89" s="105">
        <f t="shared" si="72"/>
        <v>8.8775394549485132E-3</v>
      </c>
      <c r="BH89" s="105">
        <f t="shared" si="73"/>
        <v>8.8775394549485132E-3</v>
      </c>
      <c r="BI89" s="10"/>
      <c r="BJ89" s="10"/>
    </row>
    <row r="90" spans="1:62" ht="14.25" customHeight="1">
      <c r="A90" s="10" t="s">
        <v>95</v>
      </c>
      <c r="B90" s="10" t="s">
        <v>313</v>
      </c>
      <c r="C90" s="10" t="s">
        <v>327</v>
      </c>
      <c r="D90" s="10" t="s">
        <v>332</v>
      </c>
      <c r="E90" s="31">
        <v>214304000</v>
      </c>
      <c r="F90" s="39">
        <v>-0.3</v>
      </c>
      <c r="G90" s="40">
        <f t="shared" si="0"/>
        <v>-64291200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0">
        <v>42185</v>
      </c>
      <c r="AP90" s="101">
        <v>71154.900000000009</v>
      </c>
      <c r="AQ90" s="6">
        <v>14473.031726331272</v>
      </c>
      <c r="AR90" s="103">
        <f t="shared" si="64"/>
        <v>85627.931726331284</v>
      </c>
      <c r="AS90" s="101">
        <v>71154.900000000009</v>
      </c>
      <c r="AT90" s="6">
        <v>14473.031726331272</v>
      </c>
      <c r="AU90" s="103">
        <f t="shared" si="65"/>
        <v>85627.931726331284</v>
      </c>
      <c r="AV90" s="101">
        <v>71154.900000000009</v>
      </c>
      <c r="AW90" s="6">
        <v>14473.031726331272</v>
      </c>
      <c r="AX90" s="103">
        <f t="shared" si="66"/>
        <v>85627.931726331284</v>
      </c>
      <c r="AY90" s="122">
        <f t="shared" si="67"/>
        <v>0.20350267423744781</v>
      </c>
      <c r="AZ90" s="100">
        <v>42185</v>
      </c>
      <c r="BA90" s="105">
        <f t="shared" si="68"/>
        <v>2.2230727096354874E-2</v>
      </c>
      <c r="BB90" s="105">
        <f t="shared" si="69"/>
        <v>2.2230727096354874E-2</v>
      </c>
      <c r="BC90" s="105">
        <f t="shared" si="70"/>
        <v>2.2230727096354874E-2</v>
      </c>
      <c r="BD90" s="10"/>
      <c r="BE90" s="100">
        <v>42185</v>
      </c>
      <c r="BF90" s="105">
        <f t="shared" si="71"/>
        <v>1.5898470976421164E-2</v>
      </c>
      <c r="BG90" s="105">
        <f t="shared" si="72"/>
        <v>1.5898470976421164E-2</v>
      </c>
      <c r="BH90" s="105">
        <f t="shared" si="73"/>
        <v>1.5898470976421164E-2</v>
      </c>
      <c r="BI90" s="10"/>
      <c r="BJ90" s="10"/>
    </row>
    <row r="91" spans="1:62" ht="14.25" customHeight="1">
      <c r="A91" s="10" t="s">
        <v>95</v>
      </c>
      <c r="B91" s="10" t="s">
        <v>313</v>
      </c>
      <c r="C91" s="10" t="s">
        <v>327</v>
      </c>
      <c r="D91" s="10" t="s">
        <v>333</v>
      </c>
      <c r="E91" s="31">
        <v>157356000</v>
      </c>
      <c r="F91" s="39">
        <v>-0.3</v>
      </c>
      <c r="G91" s="40">
        <f t="shared" si="0"/>
        <v>-47206800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0">
        <v>42277</v>
      </c>
      <c r="AP91" s="101">
        <v>76759.5</v>
      </c>
      <c r="AQ91" s="6">
        <v>17309.549902782939</v>
      </c>
      <c r="AR91" s="103">
        <f t="shared" si="64"/>
        <v>94069.049902782936</v>
      </c>
      <c r="AS91" s="101">
        <v>76759.5</v>
      </c>
      <c r="AT91" s="6">
        <v>17309.549902782939</v>
      </c>
      <c r="AU91" s="103">
        <f t="shared" si="65"/>
        <v>94069.049902782936</v>
      </c>
      <c r="AV91" s="101">
        <v>76759.5</v>
      </c>
      <c r="AW91" s="6">
        <v>17309.549902782939</v>
      </c>
      <c r="AX91" s="103">
        <f t="shared" si="66"/>
        <v>94069.049902782936</v>
      </c>
      <c r="AY91" s="122">
        <f t="shared" si="67"/>
        <v>0.20568336288359593</v>
      </c>
      <c r="AZ91" s="100">
        <v>42277</v>
      </c>
      <c r="BA91" s="105">
        <f t="shared" si="68"/>
        <v>3.0891396348644795E-2</v>
      </c>
      <c r="BB91" s="105">
        <f t="shared" si="69"/>
        <v>3.0891396348644795E-2</v>
      </c>
      <c r="BC91" s="105">
        <f t="shared" si="70"/>
        <v>3.0891396348644795E-2</v>
      </c>
      <c r="BD91" s="10"/>
      <c r="BE91" s="100">
        <v>42277</v>
      </c>
      <c r="BF91" s="105">
        <f t="shared" si="71"/>
        <v>2.1767608455664611E-2</v>
      </c>
      <c r="BG91" s="105">
        <f t="shared" si="72"/>
        <v>2.1767608455664611E-2</v>
      </c>
      <c r="BH91" s="105">
        <f t="shared" si="73"/>
        <v>2.1767608455664611E-2</v>
      </c>
      <c r="BI91" s="10"/>
      <c r="BJ91" s="10"/>
    </row>
    <row r="92" spans="1:62" ht="14.25" customHeight="1">
      <c r="A92" s="10" t="s">
        <v>95</v>
      </c>
      <c r="B92" s="10" t="s">
        <v>313</v>
      </c>
      <c r="C92" s="10" t="s">
        <v>327</v>
      </c>
      <c r="D92" s="10" t="s">
        <v>334</v>
      </c>
      <c r="E92" s="31">
        <v>42449000</v>
      </c>
      <c r="F92" s="39">
        <v>-0.3</v>
      </c>
      <c r="G92" s="40">
        <f t="shared" si="0"/>
        <v>-12734700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0">
        <v>42369</v>
      </c>
      <c r="AP92" s="101">
        <v>69769.600000000006</v>
      </c>
      <c r="AQ92" s="6">
        <v>14799.509753776016</v>
      </c>
      <c r="AR92" s="103">
        <f t="shared" si="64"/>
        <v>84569.109753776022</v>
      </c>
      <c r="AS92" s="101">
        <v>69769.600000000006</v>
      </c>
      <c r="AT92" s="6">
        <v>14799.509753776016</v>
      </c>
      <c r="AU92" s="103">
        <f t="shared" si="65"/>
        <v>84569.109753776022</v>
      </c>
      <c r="AV92" s="101">
        <v>69769.600000000006</v>
      </c>
      <c r="AW92" s="6">
        <v>14799.509753776016</v>
      </c>
      <c r="AX92" s="103">
        <f t="shared" si="66"/>
        <v>84569.109753776022</v>
      </c>
      <c r="AY92" s="122">
        <f t="shared" si="67"/>
        <v>0.20688011790457228</v>
      </c>
      <c r="AZ92" s="100">
        <v>42369</v>
      </c>
      <c r="BA92" s="105">
        <f t="shared" si="68"/>
        <v>2.6725437220459947E-2</v>
      </c>
      <c r="BB92" s="105">
        <f t="shared" si="69"/>
        <v>2.6725437220459947E-2</v>
      </c>
      <c r="BC92" s="105">
        <f t="shared" si="70"/>
        <v>2.6725437220459947E-2</v>
      </c>
      <c r="BD92" s="10"/>
      <c r="BE92" s="100">
        <v>42369</v>
      </c>
      <c r="BF92" s="105">
        <f t="shared" si="71"/>
        <v>2.5211596792207525E-2</v>
      </c>
      <c r="BG92" s="105">
        <f t="shared" si="72"/>
        <v>2.5211596792207525E-2</v>
      </c>
      <c r="BH92" s="105">
        <f t="shared" si="73"/>
        <v>2.5211596792207525E-2</v>
      </c>
      <c r="BI92" s="10"/>
      <c r="BJ92" s="10"/>
    </row>
    <row r="93" spans="1:62" ht="14.25" customHeight="1">
      <c r="A93" s="10" t="s">
        <v>95</v>
      </c>
      <c r="B93" s="10" t="s">
        <v>313</v>
      </c>
      <c r="C93" s="10" t="s">
        <v>335</v>
      </c>
      <c r="D93" s="10" t="s">
        <v>335</v>
      </c>
      <c r="E93" s="31">
        <v>298938000</v>
      </c>
      <c r="F93" s="39">
        <v>-0.3</v>
      </c>
      <c r="G93" s="40">
        <f t="shared" si="0"/>
        <v>-89681400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0">
        <v>42460</v>
      </c>
      <c r="AP93" s="101">
        <v>65624.3</v>
      </c>
      <c r="AQ93" s="6">
        <v>11395.671175184318</v>
      </c>
      <c r="AR93" s="103">
        <f t="shared" si="64"/>
        <v>77019.971175184328</v>
      </c>
      <c r="AS93" s="101">
        <v>65624.3</v>
      </c>
      <c r="AT93" s="6">
        <v>11395.671175184318</v>
      </c>
      <c r="AU93" s="103">
        <f t="shared" si="65"/>
        <v>77019.971175184328</v>
      </c>
      <c r="AV93" s="101">
        <v>65624.3</v>
      </c>
      <c r="AW93" s="6">
        <v>11395.671175184318</v>
      </c>
      <c r="AX93" s="103">
        <f t="shared" si="66"/>
        <v>77019.971175184328</v>
      </c>
      <c r="AY93" s="122">
        <f t="shared" si="67"/>
        <v>0.2046454782936982</v>
      </c>
      <c r="AZ93" s="100">
        <v>42460</v>
      </c>
      <c r="BA93" s="105">
        <f t="shared" si="68"/>
        <v>2.1073999013515365E-2</v>
      </c>
      <c r="BB93" s="105">
        <f t="shared" si="69"/>
        <v>2.1073999013515365E-2</v>
      </c>
      <c r="BC93" s="105">
        <f t="shared" si="70"/>
        <v>2.1073999013515365E-2</v>
      </c>
      <c r="BD93" s="10"/>
      <c r="BE93" s="100">
        <v>42460</v>
      </c>
      <c r="BF93" s="105">
        <f t="shared" si="71"/>
        <v>2.5455514628367037E-2</v>
      </c>
      <c r="BG93" s="105">
        <f t="shared" si="72"/>
        <v>2.5455514628367037E-2</v>
      </c>
      <c r="BH93" s="105">
        <f t="shared" si="73"/>
        <v>2.5455514628367037E-2</v>
      </c>
      <c r="BI93" s="10"/>
      <c r="BJ93" s="10"/>
    </row>
    <row r="94" spans="1:62" ht="14.25" customHeight="1">
      <c r="A94" s="10" t="s">
        <v>95</v>
      </c>
      <c r="B94" s="10" t="s">
        <v>313</v>
      </c>
      <c r="C94" s="10" t="s">
        <v>336</v>
      </c>
      <c r="D94" s="10" t="s">
        <v>337</v>
      </c>
      <c r="E94" s="31">
        <v>6185000</v>
      </c>
      <c r="F94" s="39">
        <v>-0.3</v>
      </c>
      <c r="G94" s="40">
        <f t="shared" si="0"/>
        <v>-1855500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0">
        <v>42551</v>
      </c>
      <c r="AP94" s="101">
        <v>72802.000000000015</v>
      </c>
      <c r="AQ94" s="6">
        <v>15157.359995596888</v>
      </c>
      <c r="AR94" s="103">
        <f t="shared" si="64"/>
        <v>87959.359995596897</v>
      </c>
      <c r="AS94" s="101">
        <v>72802.000000000015</v>
      </c>
      <c r="AT94" s="6">
        <v>15157.359995596888</v>
      </c>
      <c r="AU94" s="103">
        <f t="shared" si="65"/>
        <v>87959.359995596897</v>
      </c>
      <c r="AV94" s="101">
        <v>72802.000000000015</v>
      </c>
      <c r="AW94" s="6">
        <v>15157.359995596888</v>
      </c>
      <c r="AX94" s="103">
        <f t="shared" si="66"/>
        <v>87959.359995596897</v>
      </c>
      <c r="AY94" s="122">
        <f t="shared" si="67"/>
        <v>0.20586411356773784</v>
      </c>
      <c r="AZ94" s="100">
        <v>42551</v>
      </c>
      <c r="BA94" s="105">
        <f t="shared" si="68"/>
        <v>2.722742710540893E-2</v>
      </c>
      <c r="BB94" s="105">
        <f t="shared" si="69"/>
        <v>2.722742710540893E-2</v>
      </c>
      <c r="BC94" s="105">
        <f t="shared" si="70"/>
        <v>2.722742710540893E-2</v>
      </c>
      <c r="BD94" s="10"/>
      <c r="BE94" s="100">
        <v>42551</v>
      </c>
      <c r="BF94" s="105">
        <f t="shared" si="71"/>
        <v>2.6715992276585609E-2</v>
      </c>
      <c r="BG94" s="105">
        <f t="shared" si="72"/>
        <v>2.6715992276585609E-2</v>
      </c>
      <c r="BH94" s="105">
        <f t="shared" si="73"/>
        <v>2.6715992276585609E-2</v>
      </c>
      <c r="BI94" s="10"/>
      <c r="BJ94" s="10"/>
    </row>
    <row r="95" spans="1:62" ht="14.25" customHeight="1">
      <c r="A95" s="10" t="s">
        <v>95</v>
      </c>
      <c r="B95" s="10" t="s">
        <v>313</v>
      </c>
      <c r="C95" s="10" t="s">
        <v>336</v>
      </c>
      <c r="D95" s="10" t="s">
        <v>338</v>
      </c>
      <c r="E95" s="31">
        <v>183735000</v>
      </c>
      <c r="F95" s="39">
        <v>-0.3</v>
      </c>
      <c r="G95" s="40">
        <f t="shared" si="0"/>
        <v>-55120500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0">
        <v>42643</v>
      </c>
      <c r="AP95" s="101">
        <v>79836.699999999983</v>
      </c>
      <c r="AQ95" s="6">
        <v>18808.813253508881</v>
      </c>
      <c r="AR95" s="103">
        <f t="shared" si="64"/>
        <v>98645.513253508863</v>
      </c>
      <c r="AS95" s="101">
        <v>79836.699999999983</v>
      </c>
      <c r="AT95" s="6">
        <v>18808.813253508881</v>
      </c>
      <c r="AU95" s="103">
        <f t="shared" si="65"/>
        <v>98645.513253508863</v>
      </c>
      <c r="AV95" s="101">
        <v>79836.699999999983</v>
      </c>
      <c r="AW95" s="6">
        <v>18808.813253508881</v>
      </c>
      <c r="AX95" s="103">
        <f t="shared" si="66"/>
        <v>98645.513253508863</v>
      </c>
      <c r="AY95" s="122">
        <f t="shared" si="67"/>
        <v>0.20886994797834033</v>
      </c>
      <c r="AZ95" s="100">
        <v>42643</v>
      </c>
      <c r="BA95" s="105">
        <f t="shared" si="68"/>
        <v>4.8650043297508994E-2</v>
      </c>
      <c r="BB95" s="105">
        <f t="shared" si="69"/>
        <v>4.8650043297508994E-2</v>
      </c>
      <c r="BC95" s="105">
        <f t="shared" si="70"/>
        <v>4.8650043297508994E-2</v>
      </c>
      <c r="BD95" s="10"/>
      <c r="BE95" s="100">
        <v>42643</v>
      </c>
      <c r="BF95" s="105">
        <f t="shared" si="71"/>
        <v>3.1700683100344573E-2</v>
      </c>
      <c r="BG95" s="105">
        <f t="shared" si="72"/>
        <v>3.1700683100344573E-2</v>
      </c>
      <c r="BH95" s="105">
        <f t="shared" si="73"/>
        <v>3.1700683100344573E-2</v>
      </c>
      <c r="BI95" s="10"/>
      <c r="BJ95" s="10"/>
    </row>
    <row r="96" spans="1:62" ht="14.25" customHeight="1">
      <c r="A96" s="10" t="s">
        <v>95</v>
      </c>
      <c r="B96" s="10" t="s">
        <v>339</v>
      </c>
      <c r="C96" s="10" t="s">
        <v>340</v>
      </c>
      <c r="D96" s="10" t="s">
        <v>340</v>
      </c>
      <c r="E96" s="31">
        <v>47786000</v>
      </c>
      <c r="F96" s="39">
        <v>-0.3</v>
      </c>
      <c r="G96" s="40">
        <f t="shared" si="0"/>
        <v>-14335800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0">
        <v>42735</v>
      </c>
      <c r="AP96" s="101">
        <v>72774.200000000012</v>
      </c>
      <c r="AQ96" s="6">
        <v>14769.698787892044</v>
      </c>
      <c r="AR96" s="103">
        <f t="shared" si="64"/>
        <v>87543.89878789206</v>
      </c>
      <c r="AS96" s="101">
        <v>72774.200000000012</v>
      </c>
      <c r="AT96" s="6">
        <v>14769.698787892044</v>
      </c>
      <c r="AU96" s="103">
        <f t="shared" si="65"/>
        <v>87543.89878789206</v>
      </c>
      <c r="AV96" s="101">
        <v>72774.200000000012</v>
      </c>
      <c r="AW96" s="6">
        <v>14769.698787892044</v>
      </c>
      <c r="AX96" s="103">
        <f t="shared" si="66"/>
        <v>87543.89878789206</v>
      </c>
      <c r="AY96" s="122">
        <f t="shared" si="67"/>
        <v>0.20661119338758802</v>
      </c>
      <c r="AZ96" s="100">
        <v>42735</v>
      </c>
      <c r="BA96" s="105">
        <f t="shared" si="68"/>
        <v>3.5175834802768646E-2</v>
      </c>
      <c r="BB96" s="105">
        <f t="shared" si="69"/>
        <v>3.5175834802768646E-2</v>
      </c>
      <c r="BC96" s="105">
        <f t="shared" si="70"/>
        <v>3.5175834802768646E-2</v>
      </c>
      <c r="BD96" s="10"/>
      <c r="BE96" s="100">
        <v>42735</v>
      </c>
      <c r="BF96" s="105">
        <f t="shared" si="71"/>
        <v>3.3772210575281347E-2</v>
      </c>
      <c r="BG96" s="105">
        <f t="shared" si="72"/>
        <v>3.3772210575281347E-2</v>
      </c>
      <c r="BH96" s="105">
        <f t="shared" si="73"/>
        <v>3.3772210575281347E-2</v>
      </c>
      <c r="BI96" s="10"/>
      <c r="BJ96" s="10"/>
    </row>
    <row r="97" spans="1:62" ht="14.25" customHeight="1">
      <c r="A97" s="10" t="s">
        <v>95</v>
      </c>
      <c r="B97" s="10" t="s">
        <v>339</v>
      </c>
      <c r="C97" s="10" t="s">
        <v>341</v>
      </c>
      <c r="D97" s="10" t="s">
        <v>341</v>
      </c>
      <c r="E97" s="31">
        <v>89931000</v>
      </c>
      <c r="F97" s="39">
        <v>-0.3</v>
      </c>
      <c r="G97" s="40">
        <f t="shared" si="0"/>
        <v>-26979300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0">
        <v>42825</v>
      </c>
      <c r="AP97" s="101">
        <v>68176.3</v>
      </c>
      <c r="AQ97" s="6">
        <v>11411.007019095812</v>
      </c>
      <c r="AR97" s="103">
        <f t="shared" si="64"/>
        <v>79587.30701909581</v>
      </c>
      <c r="AS97" s="101">
        <v>68176.3</v>
      </c>
      <c r="AT97" s="6">
        <v>11411.007019095812</v>
      </c>
      <c r="AU97" s="103">
        <f t="shared" si="65"/>
        <v>79587.30701909581</v>
      </c>
      <c r="AV97" s="101">
        <v>68176.3</v>
      </c>
      <c r="AW97" s="6">
        <v>11411.007019095812</v>
      </c>
      <c r="AX97" s="103">
        <f t="shared" si="66"/>
        <v>79587.30701909581</v>
      </c>
      <c r="AY97" s="122">
        <f t="shared" si="67"/>
        <v>0.20486747828630489</v>
      </c>
      <c r="AZ97" s="100">
        <v>42825</v>
      </c>
      <c r="BA97" s="105">
        <f t="shared" si="68"/>
        <v>3.3333378404829528E-2</v>
      </c>
      <c r="BB97" s="105">
        <f t="shared" si="69"/>
        <v>3.3333378404829528E-2</v>
      </c>
      <c r="BC97" s="105">
        <f t="shared" si="70"/>
        <v>3.3333378404829528E-2</v>
      </c>
      <c r="BD97" s="10"/>
      <c r="BE97" s="100">
        <v>42825</v>
      </c>
      <c r="BF97" s="105">
        <f t="shared" si="71"/>
        <v>3.647970973294723E-2</v>
      </c>
      <c r="BG97" s="105">
        <f t="shared" si="72"/>
        <v>3.647970973294723E-2</v>
      </c>
      <c r="BH97" s="105">
        <f t="shared" si="73"/>
        <v>3.647970973294723E-2</v>
      </c>
      <c r="BI97" s="10"/>
      <c r="BJ97" s="10"/>
    </row>
    <row r="98" spans="1:62" ht="14.25" customHeight="1">
      <c r="A98" s="10" t="s">
        <v>95</v>
      </c>
      <c r="B98" s="10" t="s">
        <v>339</v>
      </c>
      <c r="C98" s="10" t="s">
        <v>342</v>
      </c>
      <c r="D98" s="10" t="s">
        <v>343</v>
      </c>
      <c r="E98" s="31">
        <v>9941000</v>
      </c>
      <c r="F98" s="39">
        <v>-0.3</v>
      </c>
      <c r="G98" s="40">
        <f t="shared" si="0"/>
        <v>-2982300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0">
        <v>42916</v>
      </c>
      <c r="AP98" s="101">
        <v>75872.3</v>
      </c>
      <c r="AQ98" s="6">
        <v>16465.590537663367</v>
      </c>
      <c r="AR98" s="103">
        <f t="shared" si="64"/>
        <v>92337.890537663363</v>
      </c>
      <c r="AS98" s="101">
        <v>75872.3</v>
      </c>
      <c r="AT98" s="6">
        <v>16465.590537663367</v>
      </c>
      <c r="AU98" s="103">
        <f t="shared" si="65"/>
        <v>92337.890537663363</v>
      </c>
      <c r="AV98" s="101">
        <v>75872.3</v>
      </c>
      <c r="AW98" s="6">
        <v>16465.590537663367</v>
      </c>
      <c r="AX98" s="103">
        <f t="shared" si="66"/>
        <v>92337.890537663363</v>
      </c>
      <c r="AY98" s="122">
        <f t="shared" si="67"/>
        <v>0.20715705918118285</v>
      </c>
      <c r="AZ98" s="100">
        <v>42916</v>
      </c>
      <c r="BA98" s="105">
        <f t="shared" si="68"/>
        <v>4.9779017745077425E-2</v>
      </c>
      <c r="BB98" s="105">
        <f t="shared" si="69"/>
        <v>4.9779017745077425E-2</v>
      </c>
      <c r="BC98" s="105">
        <f t="shared" si="70"/>
        <v>4.9779017745077425E-2</v>
      </c>
      <c r="BD98" s="10"/>
      <c r="BE98" s="100">
        <v>42916</v>
      </c>
      <c r="BF98" s="105">
        <f t="shared" si="71"/>
        <v>4.2189699761542077E-2</v>
      </c>
      <c r="BG98" s="105">
        <f t="shared" si="72"/>
        <v>4.2189699761542077E-2</v>
      </c>
      <c r="BH98" s="105">
        <f t="shared" si="73"/>
        <v>4.2189699761542077E-2</v>
      </c>
      <c r="BI98" s="10"/>
      <c r="BJ98" s="10"/>
    </row>
    <row r="99" spans="1:62" ht="14.25" customHeight="1">
      <c r="A99" s="10" t="s">
        <v>95</v>
      </c>
      <c r="B99" s="10" t="s">
        <v>339</v>
      </c>
      <c r="C99" s="10" t="s">
        <v>344</v>
      </c>
      <c r="D99" s="10" t="s">
        <v>345</v>
      </c>
      <c r="E99" s="31">
        <v>88221000</v>
      </c>
      <c r="F99" s="39">
        <v>-0.3</v>
      </c>
      <c r="G99" s="40">
        <f t="shared" si="0"/>
        <v>-26466300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0">
        <v>43008</v>
      </c>
      <c r="AP99" s="101">
        <v>83277.700000000012</v>
      </c>
      <c r="AQ99" s="6">
        <v>20029.332853041928</v>
      </c>
      <c r="AR99" s="103">
        <f t="shared" si="64"/>
        <v>103307.03285304194</v>
      </c>
      <c r="AS99" s="101">
        <v>83277.700000000012</v>
      </c>
      <c r="AT99" s="6">
        <v>20029.332853041928</v>
      </c>
      <c r="AU99" s="103">
        <f t="shared" si="65"/>
        <v>103307.03285304194</v>
      </c>
      <c r="AV99" s="101">
        <v>83277.700000000012</v>
      </c>
      <c r="AW99" s="6">
        <v>20029.332853041928</v>
      </c>
      <c r="AX99" s="103">
        <f t="shared" si="66"/>
        <v>103307.03285304194</v>
      </c>
      <c r="AY99" s="122">
        <f t="shared" si="67"/>
        <v>0.20884879964442962</v>
      </c>
      <c r="AZ99" s="100">
        <v>43008</v>
      </c>
      <c r="BA99" s="105">
        <f t="shared" si="68"/>
        <v>4.7255262259657371E-2</v>
      </c>
      <c r="BB99" s="105">
        <f t="shared" si="69"/>
        <v>4.7255262259657371E-2</v>
      </c>
      <c r="BC99" s="105">
        <f t="shared" si="70"/>
        <v>4.7255262259657371E-2</v>
      </c>
      <c r="BD99" s="10"/>
      <c r="BE99" s="100">
        <v>43008</v>
      </c>
      <c r="BF99" s="105">
        <f t="shared" si="71"/>
        <v>4.187946069899251E-2</v>
      </c>
      <c r="BG99" s="105">
        <f t="shared" si="72"/>
        <v>4.187946069899251E-2</v>
      </c>
      <c r="BH99" s="105">
        <f t="shared" si="73"/>
        <v>4.187946069899251E-2</v>
      </c>
      <c r="BI99" s="10"/>
      <c r="BJ99" s="10"/>
    </row>
    <row r="100" spans="1:62" ht="14.25" customHeight="1">
      <c r="A100" s="10" t="s">
        <v>95</v>
      </c>
      <c r="B100" s="10" t="s">
        <v>339</v>
      </c>
      <c r="C100" s="10" t="s">
        <v>346</v>
      </c>
      <c r="D100" s="10" t="s">
        <v>347</v>
      </c>
      <c r="E100" s="31">
        <v>266634000</v>
      </c>
      <c r="F100" s="39">
        <v>-0.3</v>
      </c>
      <c r="G100" s="40">
        <f t="shared" si="0"/>
        <v>-79990200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0">
        <v>43100</v>
      </c>
      <c r="AP100" s="101">
        <v>75333</v>
      </c>
      <c r="AQ100" s="6">
        <v>15860.978419137937</v>
      </c>
      <c r="AR100" s="103">
        <f t="shared" si="64"/>
        <v>91193.978419137944</v>
      </c>
      <c r="AS100" s="101">
        <v>75333</v>
      </c>
      <c r="AT100" s="6">
        <v>15860.978419137937</v>
      </c>
      <c r="AU100" s="103">
        <f t="shared" si="65"/>
        <v>91193.978419137944</v>
      </c>
      <c r="AV100" s="101">
        <v>75333</v>
      </c>
      <c r="AW100" s="6">
        <v>15860.978419137937</v>
      </c>
      <c r="AX100" s="103">
        <f t="shared" si="66"/>
        <v>91193.978419137944</v>
      </c>
      <c r="AY100" s="122">
        <f t="shared" si="67"/>
        <v>0.21068874747592106</v>
      </c>
      <c r="AZ100" s="100">
        <v>43100</v>
      </c>
      <c r="BA100" s="105">
        <f t="shared" si="68"/>
        <v>4.1694277748465014E-2</v>
      </c>
      <c r="BB100" s="105">
        <f t="shared" si="69"/>
        <v>4.1694277748465014E-2</v>
      </c>
      <c r="BC100" s="105">
        <f t="shared" si="70"/>
        <v>4.1694277748465014E-2</v>
      </c>
      <c r="BD100" s="10"/>
      <c r="BE100" s="100">
        <v>43100</v>
      </c>
      <c r="BF100" s="105">
        <f t="shared" si="71"/>
        <v>4.3447675545366105E-2</v>
      </c>
      <c r="BG100" s="105">
        <f t="shared" si="72"/>
        <v>4.3447675545366105E-2</v>
      </c>
      <c r="BH100" s="105">
        <f t="shared" si="73"/>
        <v>4.3447675545366105E-2</v>
      </c>
      <c r="BI100" s="10"/>
      <c r="BJ100" s="10"/>
    </row>
    <row r="101" spans="1:62" ht="14.25" customHeight="1">
      <c r="A101" s="10" t="s">
        <v>95</v>
      </c>
      <c r="B101" s="10" t="s">
        <v>339</v>
      </c>
      <c r="C101" s="10" t="s">
        <v>346</v>
      </c>
      <c r="D101" s="10" t="s">
        <v>348</v>
      </c>
      <c r="E101" s="31">
        <v>177421000</v>
      </c>
      <c r="F101" s="39">
        <v>-0.3</v>
      </c>
      <c r="G101" s="40">
        <f t="shared" si="0"/>
        <v>-53226300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0">
        <v>43190</v>
      </c>
      <c r="AP101" s="101">
        <v>70683</v>
      </c>
      <c r="AQ101" s="6">
        <v>12667.607067388784</v>
      </c>
      <c r="AR101" s="103">
        <f t="shared" si="64"/>
        <v>83350.607067388788</v>
      </c>
      <c r="AS101" s="101">
        <v>70683</v>
      </c>
      <c r="AT101" s="6">
        <v>12667.607067388784</v>
      </c>
      <c r="AU101" s="103">
        <f t="shared" si="65"/>
        <v>83350.607067388788</v>
      </c>
      <c r="AV101" s="101">
        <v>70683</v>
      </c>
      <c r="AW101" s="6">
        <v>12667.607067388784</v>
      </c>
      <c r="AX101" s="103">
        <f t="shared" si="66"/>
        <v>83350.607067388788</v>
      </c>
      <c r="AY101" s="122">
        <f t="shared" si="67"/>
        <v>0.21307586322602129</v>
      </c>
      <c r="AZ101" s="100">
        <v>43190</v>
      </c>
      <c r="BA101" s="105">
        <f t="shared" si="68"/>
        <v>4.7285178871425249E-2</v>
      </c>
      <c r="BB101" s="105">
        <f t="shared" si="69"/>
        <v>4.7285178871425249E-2</v>
      </c>
      <c r="BC101" s="105">
        <f t="shared" si="70"/>
        <v>4.7285178871425249E-2</v>
      </c>
      <c r="BD101" s="10"/>
      <c r="BE101" s="100">
        <v>43190</v>
      </c>
      <c r="BF101" s="105">
        <f t="shared" si="71"/>
        <v>4.651329280587535E-2</v>
      </c>
      <c r="BG101" s="105">
        <f t="shared" si="72"/>
        <v>4.651329280587535E-2</v>
      </c>
      <c r="BH101" s="105">
        <f t="shared" si="73"/>
        <v>4.651329280587535E-2</v>
      </c>
      <c r="BI101" s="10"/>
      <c r="BJ101" s="10"/>
    </row>
    <row r="102" spans="1:62" ht="14.25" customHeight="1">
      <c r="A102" s="10" t="s">
        <v>95</v>
      </c>
      <c r="B102" s="10" t="s">
        <v>349</v>
      </c>
      <c r="C102" s="10" t="s">
        <v>350</v>
      </c>
      <c r="D102" s="10" t="s">
        <v>351</v>
      </c>
      <c r="E102" s="31">
        <v>2028076000</v>
      </c>
      <c r="F102" s="39">
        <v>-0.3</v>
      </c>
      <c r="G102" s="40">
        <f t="shared" si="0"/>
        <v>-608422800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0">
        <v>43281</v>
      </c>
      <c r="AP102" s="101">
        <v>79396.899999999994</v>
      </c>
      <c r="AQ102" s="6">
        <v>17381.782666048606</v>
      </c>
      <c r="AR102" s="103">
        <f t="shared" si="64"/>
        <v>96778.682666048597</v>
      </c>
      <c r="AS102" s="101">
        <v>79396.899999999994</v>
      </c>
      <c r="AT102" s="6">
        <v>17381.782666048606</v>
      </c>
      <c r="AU102" s="103">
        <f t="shared" si="65"/>
        <v>96778.682666048597</v>
      </c>
      <c r="AV102" s="101">
        <v>79396.899999999994</v>
      </c>
      <c r="AW102" s="6">
        <v>17381.782666048606</v>
      </c>
      <c r="AX102" s="103">
        <f t="shared" si="66"/>
        <v>96778.682666048597</v>
      </c>
      <c r="AY102" s="122">
        <f t="shared" si="67"/>
        <v>0.21361097813026139</v>
      </c>
      <c r="AZ102" s="100">
        <v>43281</v>
      </c>
      <c r="BA102" s="105">
        <f t="shared" si="68"/>
        <v>4.8092847936285654E-2</v>
      </c>
      <c r="BB102" s="105">
        <f t="shared" si="69"/>
        <v>4.8092847936285654E-2</v>
      </c>
      <c r="BC102" s="105">
        <f t="shared" si="70"/>
        <v>4.8092847936285654E-2</v>
      </c>
      <c r="BD102" s="10"/>
      <c r="BE102" s="100">
        <v>43281</v>
      </c>
      <c r="BF102" s="105">
        <f t="shared" si="71"/>
        <v>4.6118451927971815E-2</v>
      </c>
      <c r="BG102" s="105">
        <f t="shared" si="72"/>
        <v>4.6118451927971815E-2</v>
      </c>
      <c r="BH102" s="105">
        <f t="shared" si="73"/>
        <v>4.6118451927971815E-2</v>
      </c>
      <c r="BI102" s="10"/>
      <c r="BJ102" s="10"/>
    </row>
    <row r="103" spans="1:62" ht="14.25" customHeight="1">
      <c r="A103" s="10" t="s">
        <v>95</v>
      </c>
      <c r="B103" s="10" t="s">
        <v>349</v>
      </c>
      <c r="C103" s="10" t="s">
        <v>350</v>
      </c>
      <c r="D103" s="10" t="s">
        <v>352</v>
      </c>
      <c r="E103" s="31">
        <v>98454000</v>
      </c>
      <c r="F103" s="39">
        <v>-0.3</v>
      </c>
      <c r="G103" s="40">
        <f t="shared" si="0"/>
        <v>-29536200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 t="s">
        <v>1026</v>
      </c>
      <c r="AC103" s="10" t="s">
        <v>1023</v>
      </c>
      <c r="AD103" s="10" t="s">
        <v>1024</v>
      </c>
      <c r="AE103" s="10" t="s">
        <v>1025</v>
      </c>
      <c r="AF103" s="10" t="s">
        <v>980</v>
      </c>
      <c r="AG103" s="10"/>
      <c r="AH103" s="10"/>
      <c r="AI103" s="10"/>
      <c r="AJ103" s="10"/>
      <c r="AK103" s="10"/>
      <c r="AL103" s="10"/>
      <c r="AM103" s="10"/>
      <c r="AN103" s="10"/>
      <c r="AO103" s="100">
        <v>43373</v>
      </c>
      <c r="AP103" s="101">
        <v>86842.4</v>
      </c>
      <c r="AQ103" s="6">
        <v>21403.280799674278</v>
      </c>
      <c r="AR103" s="103">
        <f t="shared" si="64"/>
        <v>108245.68079967427</v>
      </c>
      <c r="AS103" s="101">
        <v>86842.4</v>
      </c>
      <c r="AT103" s="6">
        <v>21403.280799674278</v>
      </c>
      <c r="AU103" s="103">
        <f t="shared" si="65"/>
        <v>108245.68079967427</v>
      </c>
      <c r="AV103" s="101">
        <v>86842.4</v>
      </c>
      <c r="AW103" s="6">
        <v>21403.280799674278</v>
      </c>
      <c r="AX103" s="103">
        <f t="shared" si="66"/>
        <v>108245.68079967427</v>
      </c>
      <c r="AY103" s="122">
        <f t="shared" si="67"/>
        <v>0.21557247852077968</v>
      </c>
      <c r="AZ103" s="100">
        <v>43373</v>
      </c>
      <c r="BA103" s="105">
        <f t="shared" si="68"/>
        <v>4.7805534727318522E-2</v>
      </c>
      <c r="BB103" s="105">
        <f t="shared" si="69"/>
        <v>4.7805534727318522E-2</v>
      </c>
      <c r="BC103" s="105">
        <f t="shared" si="70"/>
        <v>4.7805534727318522E-2</v>
      </c>
      <c r="BD103" s="10"/>
      <c r="BE103" s="100">
        <v>43373</v>
      </c>
      <c r="BF103" s="105">
        <f t="shared" si="71"/>
        <v>4.6289759449429591E-2</v>
      </c>
      <c r="BG103" s="105">
        <f t="shared" si="72"/>
        <v>4.6289759449429591E-2</v>
      </c>
      <c r="BH103" s="105">
        <f t="shared" si="73"/>
        <v>4.6289759449429591E-2</v>
      </c>
      <c r="BI103" s="10"/>
      <c r="BJ103" s="10"/>
    </row>
    <row r="104" spans="1:62" ht="14.25" customHeight="1">
      <c r="A104" s="10" t="s">
        <v>95</v>
      </c>
      <c r="B104" s="10" t="s">
        <v>349</v>
      </c>
      <c r="C104" s="10" t="s">
        <v>353</v>
      </c>
      <c r="D104" s="10" t="s">
        <v>354</v>
      </c>
      <c r="E104" s="31">
        <v>88943000</v>
      </c>
      <c r="F104" s="39">
        <v>-0.3</v>
      </c>
      <c r="G104" s="40">
        <f t="shared" si="0"/>
        <v>-26682900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 t="s">
        <v>67</v>
      </c>
      <c r="AC104" s="402">
        <v>2.6000000000000002E-2</v>
      </c>
      <c r="AD104" s="402">
        <v>-0.02</v>
      </c>
      <c r="AE104" s="402">
        <v>4.9000000000000002E-2</v>
      </c>
      <c r="AF104" s="402">
        <f>SUMPRODUCT(AL4,AO4)/SUM(AO4)*15%</f>
        <v>0</v>
      </c>
      <c r="AH104" s="10"/>
      <c r="AI104" s="10"/>
      <c r="AJ104" s="10"/>
      <c r="AK104" s="10"/>
      <c r="AL104" s="10"/>
      <c r="AM104" s="10"/>
      <c r="AN104" s="10"/>
      <c r="AO104" s="100">
        <v>43465</v>
      </c>
      <c r="AP104" s="101">
        <v>77964</v>
      </c>
      <c r="AQ104" s="6">
        <v>16626.069179373997</v>
      </c>
      <c r="AR104" s="103">
        <f t="shared" si="64"/>
        <v>94590.069179373997</v>
      </c>
      <c r="AS104" s="101">
        <v>77964</v>
      </c>
      <c r="AT104" s="6">
        <v>16626.069179373997</v>
      </c>
      <c r="AU104" s="103">
        <f t="shared" si="65"/>
        <v>94590.069179373997</v>
      </c>
      <c r="AV104" s="101">
        <v>77964</v>
      </c>
      <c r="AW104" s="6">
        <v>16626.069179373997</v>
      </c>
      <c r="AX104" s="103">
        <f t="shared" si="66"/>
        <v>94590.069179373997</v>
      </c>
      <c r="AY104" s="122">
        <f t="shared" si="67"/>
        <v>0.21620102148771053</v>
      </c>
      <c r="AZ104" s="100">
        <v>43465</v>
      </c>
      <c r="BA104" s="105">
        <f t="shared" si="68"/>
        <v>3.7240296115026661E-2</v>
      </c>
      <c r="BB104" s="105">
        <f t="shared" si="69"/>
        <v>3.7240296115026661E-2</v>
      </c>
      <c r="BC104" s="105">
        <f t="shared" si="70"/>
        <v>3.7240296115026661E-2</v>
      </c>
      <c r="BD104" s="10"/>
      <c r="BE104" s="100">
        <v>43465</v>
      </c>
      <c r="BF104" s="105">
        <f t="shared" si="71"/>
        <v>4.5135502005718919E-2</v>
      </c>
      <c r="BG104" s="105">
        <f t="shared" si="72"/>
        <v>4.5135502005718919E-2</v>
      </c>
      <c r="BH104" s="105">
        <f t="shared" si="73"/>
        <v>4.5135502005718919E-2</v>
      </c>
      <c r="BI104" s="10"/>
      <c r="BJ104" s="10"/>
    </row>
    <row r="105" spans="1:62" ht="14.25" customHeight="1">
      <c r="A105" s="10" t="s">
        <v>95</v>
      </c>
      <c r="B105" s="10" t="s">
        <v>349</v>
      </c>
      <c r="C105" s="10" t="s">
        <v>353</v>
      </c>
      <c r="D105" s="10" t="s">
        <v>355</v>
      </c>
      <c r="E105" s="31">
        <v>59859000</v>
      </c>
      <c r="F105" s="39">
        <v>-0.3</v>
      </c>
      <c r="G105" s="40">
        <f t="shared" si="0"/>
        <v>-17957700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 t="s">
        <v>1017</v>
      </c>
      <c r="AC105" s="402">
        <v>-5.4000000000000006E-2</v>
      </c>
      <c r="AD105" s="402">
        <v>-4.5999999999999999E-2</v>
      </c>
      <c r="AE105" s="402">
        <v>-1.7000000000000001E-2</v>
      </c>
      <c r="AF105" s="402">
        <f>SUMPRODUCT(AL5:AL8,AO5:AO8)/SUM(AO5:AO8)*15%</f>
        <v>-2.8048472531374494E-2</v>
      </c>
      <c r="AH105" s="10"/>
      <c r="AI105" s="10"/>
      <c r="AJ105" s="10"/>
      <c r="AK105" s="10"/>
      <c r="AL105" s="10"/>
      <c r="AM105" s="10"/>
      <c r="AN105" s="10"/>
      <c r="AO105" s="100">
        <v>43555</v>
      </c>
      <c r="AP105" s="101">
        <v>74012.400000000009</v>
      </c>
      <c r="AQ105" s="6">
        <v>14091.896657161449</v>
      </c>
      <c r="AR105" s="103">
        <f t="shared" si="64"/>
        <v>88104.296657161452</v>
      </c>
      <c r="AS105" s="101">
        <v>74012.400000000009</v>
      </c>
      <c r="AT105" s="6">
        <v>14091.896657161449</v>
      </c>
      <c r="AU105" s="103">
        <f t="shared" si="65"/>
        <v>88104.296657161452</v>
      </c>
      <c r="AV105" s="101">
        <v>74012.400000000009</v>
      </c>
      <c r="AW105" s="6">
        <v>14091.896657161449</v>
      </c>
      <c r="AX105" s="103">
        <f t="shared" si="66"/>
        <v>88104.296657161452</v>
      </c>
      <c r="AY105" s="122">
        <f t="shared" si="67"/>
        <v>0.21841483403319922</v>
      </c>
      <c r="AZ105" s="100">
        <v>43555</v>
      </c>
      <c r="BA105" s="105">
        <f t="shared" si="68"/>
        <v>5.7032453116140136E-2</v>
      </c>
      <c r="BB105" s="105">
        <f t="shared" si="69"/>
        <v>5.7032453116140136E-2</v>
      </c>
      <c r="BC105" s="105">
        <f t="shared" si="70"/>
        <v>5.7032453116140136E-2</v>
      </c>
      <c r="BD105" s="10"/>
      <c r="BE105" s="100">
        <v>43555</v>
      </c>
      <c r="BF105" s="105">
        <f t="shared" si="71"/>
        <v>4.7352018370784288E-2</v>
      </c>
      <c r="BG105" s="105">
        <f t="shared" si="72"/>
        <v>4.7352018370784288E-2</v>
      </c>
      <c r="BH105" s="105">
        <f t="shared" si="73"/>
        <v>4.7352018370784288E-2</v>
      </c>
      <c r="BI105" s="10"/>
      <c r="BJ105" s="10"/>
    </row>
    <row r="106" spans="1:62" ht="14.25" customHeight="1">
      <c r="A106" s="10" t="s">
        <v>95</v>
      </c>
      <c r="B106" s="10" t="s">
        <v>349</v>
      </c>
      <c r="C106" s="10" t="s">
        <v>356</v>
      </c>
      <c r="D106" s="10" t="s">
        <v>356</v>
      </c>
      <c r="E106" s="31">
        <v>272750000</v>
      </c>
      <c r="F106" s="39">
        <v>-0.3</v>
      </c>
      <c r="G106" s="40">
        <f t="shared" si="0"/>
        <v>-81825000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 t="s">
        <v>78</v>
      </c>
      <c r="AC106" s="402">
        <v>-5.7000000000000002E-2</v>
      </c>
      <c r="AD106" s="402">
        <v>-0.05</v>
      </c>
      <c r="AE106" s="402">
        <v>-1.3000000000000001E-2</v>
      </c>
      <c r="AF106" s="402">
        <f>SUMPRODUCT(AL6,AO6)/SUM(AO6)*15%</f>
        <v>-3.7173447725861022E-2</v>
      </c>
      <c r="AH106" s="10"/>
      <c r="AI106" s="10"/>
      <c r="AJ106" s="10"/>
      <c r="AK106" s="10"/>
      <c r="AL106" s="10"/>
      <c r="AM106" s="10"/>
      <c r="AN106" s="10"/>
      <c r="AO106" s="100">
        <v>43646</v>
      </c>
      <c r="AP106" s="101">
        <v>82470.600000000006</v>
      </c>
      <c r="AQ106" s="6">
        <v>17989.479641991398</v>
      </c>
      <c r="AR106" s="103">
        <f t="shared" si="64"/>
        <v>100460.07964199141</v>
      </c>
      <c r="AS106" s="101">
        <v>82470.600000000006</v>
      </c>
      <c r="AT106" s="6">
        <v>17989.479641991398</v>
      </c>
      <c r="AU106" s="103">
        <f t="shared" si="65"/>
        <v>100460.07964199141</v>
      </c>
      <c r="AV106" s="101">
        <v>82470.600000000006</v>
      </c>
      <c r="AW106" s="6">
        <v>17989.479641991398</v>
      </c>
      <c r="AX106" s="103">
        <f t="shared" si="66"/>
        <v>100460.07964199141</v>
      </c>
      <c r="AY106" s="122">
        <f t="shared" si="67"/>
        <v>0.21821674253243686</v>
      </c>
      <c r="AZ106" s="100">
        <v>43646</v>
      </c>
      <c r="BA106" s="105">
        <f t="shared" si="68"/>
        <v>3.8039337533102291E-2</v>
      </c>
      <c r="BB106" s="105">
        <f t="shared" si="69"/>
        <v>3.8039337533102291E-2</v>
      </c>
      <c r="BC106" s="105">
        <f t="shared" si="70"/>
        <v>3.8039337533102291E-2</v>
      </c>
      <c r="BD106" s="10"/>
      <c r="BE106" s="100">
        <v>43646</v>
      </c>
      <c r="BF106" s="105">
        <f t="shared" si="71"/>
        <v>4.4763664945330683E-2</v>
      </c>
      <c r="BG106" s="105">
        <f t="shared" si="72"/>
        <v>4.4763664945330683E-2</v>
      </c>
      <c r="BH106" s="105">
        <f t="shared" si="73"/>
        <v>4.4763664945330683E-2</v>
      </c>
      <c r="BI106" s="10"/>
      <c r="BJ106" s="10"/>
    </row>
    <row r="107" spans="1:62" ht="14.25" customHeight="1">
      <c r="A107" s="10" t="s">
        <v>95</v>
      </c>
      <c r="B107" s="10" t="s">
        <v>349</v>
      </c>
      <c r="C107" s="10" t="s">
        <v>357</v>
      </c>
      <c r="D107" s="10" t="s">
        <v>358</v>
      </c>
      <c r="E107" s="31">
        <v>459305000</v>
      </c>
      <c r="F107" s="39">
        <v>-0.3</v>
      </c>
      <c r="G107" s="40">
        <f t="shared" si="0"/>
        <v>-137791500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 t="s">
        <v>101</v>
      </c>
      <c r="AC107" s="402">
        <v>-0.106</v>
      </c>
      <c r="AD107" s="402">
        <v>2.8999999999999998E-2</v>
      </c>
      <c r="AE107" s="402">
        <v>-7.9000000000000001E-2</v>
      </c>
      <c r="AF107" s="402">
        <f>SUMPRODUCT(AL9,AO9)/SUM(AO9)*15%</f>
        <v>-4.4999999999999998E-2</v>
      </c>
      <c r="AH107" s="10"/>
      <c r="AI107" s="10"/>
      <c r="AJ107" s="10"/>
      <c r="AK107" s="10"/>
      <c r="AL107" s="10"/>
      <c r="AM107" s="10"/>
      <c r="AN107" s="10"/>
      <c r="AO107" s="100">
        <v>43738</v>
      </c>
      <c r="AP107" s="101">
        <v>90670.299999999988</v>
      </c>
      <c r="AQ107" s="6">
        <v>22234.908395578514</v>
      </c>
      <c r="AR107" s="103">
        <f t="shared" si="64"/>
        <v>112905.20839557851</v>
      </c>
      <c r="AS107" s="101">
        <v>90670.299999999988</v>
      </c>
      <c r="AT107" s="6">
        <v>22234.908395578514</v>
      </c>
      <c r="AU107" s="103">
        <f t="shared" si="65"/>
        <v>112905.20839557851</v>
      </c>
      <c r="AV107" s="101">
        <v>90670.299999999988</v>
      </c>
      <c r="AW107" s="6">
        <v>22234.908395578514</v>
      </c>
      <c r="AX107" s="103">
        <f t="shared" si="66"/>
        <v>112905.20839557851</v>
      </c>
      <c r="AY107" s="122">
        <f t="shared" si="67"/>
        <v>0.21820541039835578</v>
      </c>
      <c r="AZ107" s="100">
        <v>43738</v>
      </c>
      <c r="BA107" s="105">
        <f t="shared" si="68"/>
        <v>4.3045852374723692E-2</v>
      </c>
      <c r="BB107" s="105">
        <f t="shared" si="69"/>
        <v>4.3045852374723692E-2</v>
      </c>
      <c r="BC107" s="105">
        <f t="shared" si="70"/>
        <v>4.3045852374723692E-2</v>
      </c>
      <c r="BD107" s="10"/>
      <c r="BE107" s="100">
        <v>43738</v>
      </c>
      <c r="BF107" s="105">
        <f t="shared" si="71"/>
        <v>4.3445874504161042E-2</v>
      </c>
      <c r="BG107" s="105">
        <f t="shared" si="72"/>
        <v>4.3445874504161042E-2</v>
      </c>
      <c r="BH107" s="105">
        <f t="shared" si="73"/>
        <v>4.3445874504161042E-2</v>
      </c>
      <c r="BI107" s="10"/>
      <c r="BJ107" s="10"/>
    </row>
    <row r="108" spans="1:62" ht="14.25" customHeight="1">
      <c r="A108" s="10" t="s">
        <v>95</v>
      </c>
      <c r="B108" s="10" t="s">
        <v>349</v>
      </c>
      <c r="C108" s="10" t="s">
        <v>357</v>
      </c>
      <c r="D108" s="10" t="s">
        <v>359</v>
      </c>
      <c r="E108" s="31">
        <v>627377000</v>
      </c>
      <c r="F108" s="39">
        <v>-0.3</v>
      </c>
      <c r="G108" s="40">
        <f t="shared" si="0"/>
        <v>-188213100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 t="s">
        <v>1018</v>
      </c>
      <c r="AC108" s="402">
        <v>-7.6999999999999999E-2</v>
      </c>
      <c r="AD108" s="402">
        <v>-5.9000000000000004E-2</v>
      </c>
      <c r="AE108" s="402">
        <v>-9.0999999999999998E-2</v>
      </c>
      <c r="AF108" s="402">
        <f>SUMPRODUCT(AL10:AL12,AO10:AO12)/SUM(AO10:AO12)*15%</f>
        <v>-7.4686026453274906E-2</v>
      </c>
      <c r="AH108" s="10"/>
      <c r="AI108" s="10"/>
      <c r="AJ108" s="10"/>
      <c r="AK108" s="10"/>
      <c r="AL108" s="10"/>
      <c r="AM108" s="10"/>
      <c r="AN108" s="10"/>
      <c r="AO108" s="100">
        <v>43830</v>
      </c>
      <c r="AP108" s="101">
        <v>81083.299999999988</v>
      </c>
      <c r="AQ108" s="6">
        <v>17549.721620912616</v>
      </c>
      <c r="AR108" s="103">
        <f t="shared" si="64"/>
        <v>98633.021620912608</v>
      </c>
      <c r="AS108" s="101">
        <v>81083.299999999988</v>
      </c>
      <c r="AT108" s="6">
        <v>17549.721620912616</v>
      </c>
      <c r="AU108" s="103">
        <f t="shared" si="65"/>
        <v>98633.021620912608</v>
      </c>
      <c r="AV108" s="101">
        <v>81083.299999999988</v>
      </c>
      <c r="AW108" s="6">
        <v>17549.721620912616</v>
      </c>
      <c r="AX108" s="103">
        <f t="shared" si="66"/>
        <v>98633.021620912608</v>
      </c>
      <c r="AY108" s="122">
        <f t="shared" si="67"/>
        <v>0.21894574314882614</v>
      </c>
      <c r="AZ108" s="100">
        <v>43830</v>
      </c>
      <c r="BA108" s="105">
        <f t="shared" si="68"/>
        <v>4.274182772688162E-2</v>
      </c>
      <c r="BB108" s="105">
        <f t="shared" si="69"/>
        <v>4.274182772688162E-2</v>
      </c>
      <c r="BC108" s="105">
        <f t="shared" si="70"/>
        <v>4.274182772688162E-2</v>
      </c>
      <c r="BD108" s="10"/>
      <c r="BE108" s="100">
        <v>43830</v>
      </c>
      <c r="BF108" s="105">
        <f t="shared" si="71"/>
        <v>4.4749689465191089E-2</v>
      </c>
      <c r="BG108" s="105">
        <f t="shared" si="72"/>
        <v>4.4749689465191089E-2</v>
      </c>
      <c r="BH108" s="105">
        <f t="shared" si="73"/>
        <v>4.4749689465191089E-2</v>
      </c>
      <c r="BI108" s="10"/>
      <c r="BJ108" s="10"/>
    </row>
    <row r="109" spans="1:62" ht="14.25" customHeight="1">
      <c r="A109" s="10" t="s">
        <v>95</v>
      </c>
      <c r="B109" s="10" t="s">
        <v>349</v>
      </c>
      <c r="C109" s="10" t="s">
        <v>360</v>
      </c>
      <c r="D109" s="10" t="s">
        <v>361</v>
      </c>
      <c r="E109" s="31">
        <v>3976000</v>
      </c>
      <c r="F109" s="39">
        <v>-0.3</v>
      </c>
      <c r="G109" s="40">
        <f t="shared" si="0"/>
        <v>-1192800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 t="s">
        <v>119</v>
      </c>
      <c r="AC109" s="402">
        <v>-0.03</v>
      </c>
      <c r="AD109" s="402">
        <v>2.3E-2</v>
      </c>
      <c r="AE109" s="402">
        <v>-3.3000000000000002E-2</v>
      </c>
      <c r="AF109" s="402">
        <f>SUMPRODUCT(AL13,AO13)/SUM(AO13)*15%</f>
        <v>-6.2292213262671965E-3</v>
      </c>
      <c r="AH109" s="10"/>
      <c r="AI109" s="10"/>
      <c r="AJ109" s="10"/>
      <c r="AK109" s="10"/>
      <c r="AL109" s="10"/>
      <c r="AM109" s="10"/>
      <c r="AN109" s="10"/>
      <c r="AO109" s="85">
        <v>43921</v>
      </c>
      <c r="AP109" s="68">
        <f>AW24/1000000</f>
        <v>66727.40003658038</v>
      </c>
      <c r="AQ109" s="69">
        <f t="shared" ref="AQ109:AQ112" si="90">AP109*$BJ$2</f>
        <v>11343.658006218666</v>
      </c>
      <c r="AR109" s="70">
        <f t="shared" si="64"/>
        <v>78071.05804279905</v>
      </c>
      <c r="AS109" s="68">
        <f>BA24/1000000</f>
        <v>66727.40003658038</v>
      </c>
      <c r="AT109" s="69">
        <f t="shared" ref="AT109:AT112" si="91">AS109*$BJ$2</f>
        <v>11343.658006218666</v>
      </c>
      <c r="AU109" s="70">
        <f t="shared" si="65"/>
        <v>78071.05804279905</v>
      </c>
      <c r="AV109" s="68">
        <f>BE24/1000000</f>
        <v>66727.40003658038</v>
      </c>
      <c r="AW109" s="69">
        <f t="shared" ref="AW109:AW112" si="92">AV109*$BJ$2</f>
        <v>11343.658006218666</v>
      </c>
      <c r="AX109" s="70">
        <f t="shared" si="66"/>
        <v>78071.05804279905</v>
      </c>
      <c r="AY109" s="122">
        <f t="shared" si="67"/>
        <v>0.21535261907659448</v>
      </c>
      <c r="AZ109" s="85">
        <v>43921</v>
      </c>
      <c r="BA109" s="181">
        <f t="shared" si="68"/>
        <v>-0.11387910686586089</v>
      </c>
      <c r="BB109" s="181">
        <f t="shared" si="69"/>
        <v>-0.11387910686586089</v>
      </c>
      <c r="BC109" s="181">
        <f t="shared" si="70"/>
        <v>-0.11387910686586089</v>
      </c>
      <c r="BD109" s="182"/>
      <c r="BE109" s="85">
        <v>43921</v>
      </c>
      <c r="BF109" s="181">
        <f t="shared" si="71"/>
        <v>6.0627414188978435E-3</v>
      </c>
      <c r="BG109" s="181">
        <f t="shared" si="72"/>
        <v>6.0627414188978435E-3</v>
      </c>
      <c r="BH109" s="181">
        <f t="shared" si="73"/>
        <v>6.0627414188978435E-3</v>
      </c>
      <c r="BI109" s="10"/>
      <c r="BJ109" s="10"/>
    </row>
    <row r="110" spans="1:62" ht="14.25" customHeight="1">
      <c r="A110" s="10" t="s">
        <v>95</v>
      </c>
      <c r="B110" s="10" t="s">
        <v>349</v>
      </c>
      <c r="C110" s="10" t="s">
        <v>360</v>
      </c>
      <c r="D110" s="10" t="s">
        <v>362</v>
      </c>
      <c r="E110" s="31">
        <v>24787000</v>
      </c>
      <c r="F110" s="39">
        <v>-0.3</v>
      </c>
      <c r="G110" s="40">
        <f t="shared" si="0"/>
        <v>-7436100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 t="s">
        <v>123</v>
      </c>
      <c r="AC110" s="402">
        <v>-1.1000000000000001E-2</v>
      </c>
      <c r="AD110" s="402">
        <v>0.05</v>
      </c>
      <c r="AE110" s="402">
        <v>-1.3999999999999999E-2</v>
      </c>
      <c r="AF110" s="402">
        <f>SUMPRODUCT(AL14,AO14)/SUM(AO14)*15%</f>
        <v>-1.4999999999999999E-2</v>
      </c>
      <c r="AH110" s="10"/>
      <c r="AI110" s="10"/>
      <c r="AJ110" s="10"/>
      <c r="AK110" s="10"/>
      <c r="AL110" s="10"/>
      <c r="AM110" s="10"/>
      <c r="AN110" s="10"/>
      <c r="AO110" s="85">
        <v>44012</v>
      </c>
      <c r="AP110" s="68">
        <f>AX24/1000000</f>
        <v>55018.215382435141</v>
      </c>
      <c r="AQ110" s="69">
        <f t="shared" si="90"/>
        <v>9353.0966150139739</v>
      </c>
      <c r="AR110" s="70">
        <f t="shared" si="64"/>
        <v>64371.311997449113</v>
      </c>
      <c r="AS110" s="68">
        <f>BB24/1000000</f>
        <v>55018.215382435141</v>
      </c>
      <c r="AT110" s="69">
        <f t="shared" si="91"/>
        <v>9353.0966150139739</v>
      </c>
      <c r="AU110" s="70">
        <f t="shared" si="65"/>
        <v>64371.311997449113</v>
      </c>
      <c r="AV110" s="68">
        <f>BF24/1000000</f>
        <v>55018.215382435141</v>
      </c>
      <c r="AW110" s="69">
        <f t="shared" si="92"/>
        <v>9353.0966150139739</v>
      </c>
      <c r="AX110" s="70">
        <f t="shared" si="66"/>
        <v>64371.311997449113</v>
      </c>
      <c r="AY110" s="122">
        <f t="shared" si="67"/>
        <v>0.20607000448494298</v>
      </c>
      <c r="AZ110" s="85">
        <v>44012</v>
      </c>
      <c r="BA110" s="181">
        <f t="shared" si="68"/>
        <v>-0.35923490975869699</v>
      </c>
      <c r="BB110" s="181">
        <f t="shared" si="69"/>
        <v>-0.35923490975869699</v>
      </c>
      <c r="BC110" s="181">
        <f t="shared" si="70"/>
        <v>-0.35923490975869699</v>
      </c>
      <c r="BD110" s="182"/>
      <c r="BE110" s="85">
        <v>44012</v>
      </c>
      <c r="BF110" s="181">
        <f t="shared" si="71"/>
        <v>-9.5604277334506049E-2</v>
      </c>
      <c r="BG110" s="181">
        <f t="shared" si="72"/>
        <v>-9.5604277334506049E-2</v>
      </c>
      <c r="BH110" s="181">
        <f t="shared" si="73"/>
        <v>-9.5604277334506049E-2</v>
      </c>
      <c r="BI110" s="10"/>
      <c r="BJ110" s="10"/>
    </row>
    <row r="111" spans="1:62" ht="14.25" customHeight="1">
      <c r="A111" s="10" t="s">
        <v>95</v>
      </c>
      <c r="B111" s="10" t="s">
        <v>349</v>
      </c>
      <c r="C111" s="10" t="s">
        <v>360</v>
      </c>
      <c r="D111" s="10" t="s">
        <v>363</v>
      </c>
      <c r="E111" s="31">
        <v>513274000</v>
      </c>
      <c r="F111" s="39">
        <v>-0.3</v>
      </c>
      <c r="G111" s="40">
        <f t="shared" si="0"/>
        <v>-153982200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 t="s">
        <v>128</v>
      </c>
      <c r="AC111" s="402">
        <v>2.1000000000000001E-2</v>
      </c>
      <c r="AD111" s="402">
        <v>3.7000000000000005E-2</v>
      </c>
      <c r="AE111" s="402">
        <v>-1E-3</v>
      </c>
      <c r="AF111" s="402">
        <f>SUMPRODUCT(AL15,AO15)/SUM(AO15)*15%</f>
        <v>-0.105</v>
      </c>
      <c r="AH111" s="10"/>
      <c r="AI111" s="10"/>
      <c r="AJ111" s="10"/>
      <c r="AK111" s="10"/>
      <c r="AL111" s="10"/>
      <c r="AM111" s="10"/>
      <c r="AN111" s="10"/>
      <c r="AO111" s="85">
        <v>44104</v>
      </c>
      <c r="AP111" s="68">
        <f>AY24/1000000</f>
        <v>68099.334156769677</v>
      </c>
      <c r="AQ111" s="69">
        <f t="shared" si="90"/>
        <v>11576.886806650846</v>
      </c>
      <c r="AR111" s="70">
        <f t="shared" si="64"/>
        <v>79676.220963420521</v>
      </c>
      <c r="AS111" s="68">
        <f>BC24/1000000</f>
        <v>73571.026560677899</v>
      </c>
      <c r="AT111" s="69">
        <f t="shared" si="91"/>
        <v>12507.074515315244</v>
      </c>
      <c r="AU111" s="70">
        <f t="shared" si="65"/>
        <v>86078.101075993138</v>
      </c>
      <c r="AV111" s="68">
        <f>BG24/1000000</f>
        <v>79384.699739830336</v>
      </c>
      <c r="AW111" s="69">
        <f t="shared" si="92"/>
        <v>13495.398955771157</v>
      </c>
      <c r="AX111" s="70">
        <f t="shared" si="66"/>
        <v>92880.098695601497</v>
      </c>
      <c r="AY111" s="122">
        <f t="shared" si="67"/>
        <v>0.18389873749529134</v>
      </c>
      <c r="AZ111" s="85">
        <v>44104</v>
      </c>
      <c r="BA111" s="181">
        <f t="shared" si="68"/>
        <v>-0.29430872060158453</v>
      </c>
      <c r="BB111" s="181">
        <f t="shared" si="69"/>
        <v>-0.23760734957056195</v>
      </c>
      <c r="BC111" s="181">
        <f t="shared" si="70"/>
        <v>-0.17736214285010088</v>
      </c>
      <c r="BD111" s="182"/>
      <c r="BE111" s="85">
        <v>44104</v>
      </c>
      <c r="BF111" s="181">
        <f t="shared" si="71"/>
        <v>-0.19014317796041413</v>
      </c>
      <c r="BG111" s="181">
        <f t="shared" si="72"/>
        <v>-0.17397924899175543</v>
      </c>
      <c r="BH111" s="181">
        <f t="shared" si="73"/>
        <v>-0.15680507446255565</v>
      </c>
      <c r="BI111" s="10"/>
      <c r="BJ111" s="10"/>
    </row>
    <row r="112" spans="1:62" ht="14.25" customHeight="1">
      <c r="A112" s="10" t="s">
        <v>95</v>
      </c>
      <c r="B112" s="10" t="s">
        <v>349</v>
      </c>
      <c r="C112" s="10" t="s">
        <v>364</v>
      </c>
      <c r="D112" s="10" t="s">
        <v>365</v>
      </c>
      <c r="E112" s="31">
        <v>57859000</v>
      </c>
      <c r="F112" s="39">
        <v>-0.3</v>
      </c>
      <c r="G112" s="40">
        <f t="shared" si="0"/>
        <v>-17357700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 t="s">
        <v>1022</v>
      </c>
      <c r="AC112" s="402">
        <v>-3.6000000000000004E-2</v>
      </c>
      <c r="AD112" s="402">
        <v>-6.0000000000000001E-3</v>
      </c>
      <c r="AE112" s="402">
        <v>-4.9000000000000002E-2</v>
      </c>
      <c r="AF112" s="402">
        <f>SUMPRODUCT(AL16:AL17,AO16:AO17)/SUM(AO16:AO17)*15%</f>
        <v>-5.6382857248000233E-2</v>
      </c>
      <c r="AH112" s="10"/>
      <c r="AI112" s="10"/>
      <c r="AJ112" s="10"/>
      <c r="AK112" s="10"/>
      <c r="AL112" s="10"/>
      <c r="AM112" s="10"/>
      <c r="AN112" s="10"/>
      <c r="AO112" s="85">
        <v>44196</v>
      </c>
      <c r="AP112" s="183">
        <f>AZ24/1000000</f>
        <v>72942.329607079722</v>
      </c>
      <c r="AQ112" s="184">
        <f t="shared" si="90"/>
        <v>12400.196033203554</v>
      </c>
      <c r="AR112" s="185">
        <f t="shared" si="64"/>
        <v>85342.525640283275</v>
      </c>
      <c r="AS112" s="183">
        <f>BD24/1000000</f>
        <v>76149.410237976786</v>
      </c>
      <c r="AT112" s="184">
        <f t="shared" si="91"/>
        <v>12945.399740456054</v>
      </c>
      <c r="AU112" s="185">
        <f t="shared" si="65"/>
        <v>89094.809978432837</v>
      </c>
      <c r="AV112" s="183">
        <f>BH24/1000000</f>
        <v>81083.380439356857</v>
      </c>
      <c r="AW112" s="184">
        <f t="shared" si="92"/>
        <v>13784.174674690667</v>
      </c>
      <c r="AX112" s="185">
        <f t="shared" si="66"/>
        <v>94867.555114047529</v>
      </c>
      <c r="AY112" s="122">
        <f t="shared" si="67"/>
        <v>0.16999999999999998</v>
      </c>
      <c r="AZ112" s="85">
        <v>44196</v>
      </c>
      <c r="BA112" s="181">
        <f t="shared" si="68"/>
        <v>-0.13474692108399755</v>
      </c>
      <c r="BB112" s="181">
        <f t="shared" si="69"/>
        <v>-9.6704039739744063E-2</v>
      </c>
      <c r="BC112" s="181">
        <f t="shared" si="70"/>
        <v>-3.817652997935439E-2</v>
      </c>
      <c r="BD112" s="182"/>
      <c r="BE112" s="85">
        <v>44196</v>
      </c>
      <c r="BF112" s="181">
        <f t="shared" si="71"/>
        <v>-0.23154432940285918</v>
      </c>
      <c r="BG112" s="181">
        <f t="shared" si="72"/>
        <v>-0.20616542836488028</v>
      </c>
      <c r="BH112" s="181">
        <f t="shared" si="73"/>
        <v>-0.17473663345894874</v>
      </c>
      <c r="BI112" s="10"/>
      <c r="BJ112" s="10"/>
    </row>
    <row r="113" spans="1:62" ht="14.25" customHeight="1">
      <c r="A113" s="10" t="s">
        <v>95</v>
      </c>
      <c r="B113" s="10" t="s">
        <v>349</v>
      </c>
      <c r="C113" s="10" t="s">
        <v>364</v>
      </c>
      <c r="D113" s="10" t="s">
        <v>366</v>
      </c>
      <c r="E113" s="31">
        <v>17129000</v>
      </c>
      <c r="F113" s="39">
        <v>-0.3</v>
      </c>
      <c r="G113" s="40">
        <f t="shared" si="0"/>
        <v>-5138700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 t="s">
        <v>1019</v>
      </c>
      <c r="AC113" s="402">
        <v>4.0000000000000001E-3</v>
      </c>
      <c r="AD113" s="402">
        <v>2.7000000000000003E-2</v>
      </c>
      <c r="AE113" s="402">
        <v>4.4000000000000004E-2</v>
      </c>
      <c r="AF113" s="402">
        <f>SUMPRODUCT(AL18:AL20,AO18:AO20)/SUM(AO18:AO20)*15%</f>
        <v>-5.0557968533361409E-3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4.25" customHeight="1">
      <c r="A114" s="10" t="s">
        <v>95</v>
      </c>
      <c r="B114" s="10" t="s">
        <v>349</v>
      </c>
      <c r="C114" s="10" t="s">
        <v>364</v>
      </c>
      <c r="D114" s="10" t="s">
        <v>367</v>
      </c>
      <c r="E114" s="31">
        <v>129213000</v>
      </c>
      <c r="F114" s="39">
        <v>-0.3</v>
      </c>
      <c r="G114" s="40">
        <f t="shared" si="0"/>
        <v>-38763900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 t="s">
        <v>1020</v>
      </c>
      <c r="AC114" s="402">
        <v>-0.14499999999999999</v>
      </c>
      <c r="AD114" s="402">
        <v>-6.0999999999999999E-2</v>
      </c>
      <c r="AE114" s="402">
        <v>-9.6000000000000002E-2</v>
      </c>
      <c r="AF114" s="402">
        <f>SUMPRODUCT(AL21:AL23,AO21:AO23)/SUM(AO21:AO23)*15%</f>
        <v>-0.11395824531231954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4.25" customHeight="1">
      <c r="A115" s="10" t="s">
        <v>95</v>
      </c>
      <c r="B115" s="10" t="s">
        <v>349</v>
      </c>
      <c r="C115" s="10" t="s">
        <v>364</v>
      </c>
      <c r="D115" s="10" t="s">
        <v>368</v>
      </c>
      <c r="E115" s="31">
        <v>198833000</v>
      </c>
      <c r="F115" s="39">
        <v>-0.3</v>
      </c>
      <c r="G115" s="40">
        <f t="shared" si="0"/>
        <v>-59649900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 t="s">
        <v>1021</v>
      </c>
      <c r="AC115" s="402">
        <v>-3.4000000000000002E-2</v>
      </c>
      <c r="AD115" s="402">
        <v>-1.3000000000000001E-2</v>
      </c>
      <c r="AE115" s="402">
        <v>-3.1E-2</v>
      </c>
      <c r="AF115" s="402">
        <f>SUMPRODUCT(AL4:AL23,AO4:AO23)/SUM(AO4:AO23)*15%</f>
        <v>-4.46730041048864E-2</v>
      </c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4.25" customHeight="1">
      <c r="A116" s="10" t="s">
        <v>95</v>
      </c>
      <c r="B116" s="10" t="s">
        <v>349</v>
      </c>
      <c r="C116" s="10" t="s">
        <v>364</v>
      </c>
      <c r="D116" s="10" t="s">
        <v>369</v>
      </c>
      <c r="E116" s="31">
        <v>420724000</v>
      </c>
      <c r="F116" s="39">
        <v>-0.3</v>
      </c>
      <c r="G116" s="40">
        <f t="shared" si="0"/>
        <v>-126217200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4.25" customHeight="1">
      <c r="A117" s="10" t="s">
        <v>95</v>
      </c>
      <c r="B117" s="10" t="s">
        <v>370</v>
      </c>
      <c r="C117" s="10" t="s">
        <v>371</v>
      </c>
      <c r="D117" s="10" t="s">
        <v>372</v>
      </c>
      <c r="E117" s="31">
        <v>194523000</v>
      </c>
      <c r="F117" s="39">
        <v>-0.3</v>
      </c>
      <c r="G117" s="40">
        <f t="shared" si="0"/>
        <v>-58356900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>
        <v>100</v>
      </c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 t="s">
        <v>994</v>
      </c>
      <c r="AQ117" s="318">
        <f>SUM(AR109:AR112)-SUM(AR105:AR108)</f>
        <v>-92641.489671691961</v>
      </c>
      <c r="AR117" s="10"/>
      <c r="AS117" s="10"/>
      <c r="AT117" s="10"/>
      <c r="AU117" s="10"/>
      <c r="AV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4.25" customHeight="1">
      <c r="A118" s="10" t="s">
        <v>95</v>
      </c>
      <c r="B118" s="10" t="s">
        <v>370</v>
      </c>
      <c r="C118" s="10" t="s">
        <v>371</v>
      </c>
      <c r="D118" s="10" t="s">
        <v>373</v>
      </c>
      <c r="E118" s="31">
        <v>4703000</v>
      </c>
      <c r="F118" s="39">
        <v>-0.3</v>
      </c>
      <c r="G118" s="40">
        <f t="shared" si="0"/>
        <v>-1410900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 t="s">
        <v>995</v>
      </c>
      <c r="AQ118" s="318">
        <f>(AR109-AR106)/$AQ$117</f>
        <v>0.24167380812350725</v>
      </c>
      <c r="AR118" s="10"/>
      <c r="AS118" s="10"/>
      <c r="AT118" s="10"/>
      <c r="AU118" s="10"/>
      <c r="AV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4.25" customHeight="1">
      <c r="A119" s="10" t="s">
        <v>95</v>
      </c>
      <c r="B119" s="10" t="s">
        <v>370</v>
      </c>
      <c r="C119" s="10" t="s">
        <v>374</v>
      </c>
      <c r="D119" s="10" t="s">
        <v>374</v>
      </c>
      <c r="E119" s="31">
        <v>179460000</v>
      </c>
      <c r="F119" s="39">
        <v>-0.3</v>
      </c>
      <c r="G119" s="40">
        <f t="shared" si="0"/>
        <v>-53838000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 t="s">
        <v>996</v>
      </c>
      <c r="AQ119" s="318">
        <f t="shared" ref="AQ119:AQ121" si="93">(AR110-AR107)/$AQ$117</f>
        <v>0.52388942114517478</v>
      </c>
      <c r="AR119" s="10"/>
      <c r="AS119" s="10"/>
      <c r="AT119" s="10"/>
      <c r="AU119" s="10"/>
      <c r="AV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4.25" customHeight="1">
      <c r="A120" s="10" t="s">
        <v>95</v>
      </c>
      <c r="B120" s="10" t="s">
        <v>370</v>
      </c>
      <c r="C120" s="10" t="s">
        <v>375</v>
      </c>
      <c r="D120" s="10" t="s">
        <v>376</v>
      </c>
      <c r="E120" s="31">
        <v>241070000</v>
      </c>
      <c r="F120" s="39">
        <v>-0.3</v>
      </c>
      <c r="G120" s="40">
        <f t="shared" si="0"/>
        <v>-72321000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 t="s">
        <v>997</v>
      </c>
      <c r="AQ120" s="318">
        <f t="shared" si="93"/>
        <v>0.20462538679669603</v>
      </c>
      <c r="AR120" s="10"/>
      <c r="AS120" s="10"/>
      <c r="AT120" s="10"/>
      <c r="AU120" s="10"/>
      <c r="AV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4.25" customHeight="1">
      <c r="A121" s="10" t="s">
        <v>95</v>
      </c>
      <c r="B121" s="10" t="s">
        <v>370</v>
      </c>
      <c r="C121" s="10" t="s">
        <v>375</v>
      </c>
      <c r="D121" s="10" t="s">
        <v>377</v>
      </c>
      <c r="E121" s="31">
        <v>6724000</v>
      </c>
      <c r="F121" s="39">
        <v>-0.3</v>
      </c>
      <c r="G121" s="40">
        <f t="shared" si="0"/>
        <v>-2017200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 t="s">
        <v>998</v>
      </c>
      <c r="AQ121" s="318">
        <f t="shared" si="93"/>
        <v>-7.8490400178723968E-2</v>
      </c>
      <c r="AR121" s="10"/>
      <c r="AS121" s="10"/>
      <c r="AT121" s="10"/>
      <c r="AU121" s="10"/>
      <c r="AV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4.25" customHeight="1">
      <c r="A122" s="10" t="s">
        <v>95</v>
      </c>
      <c r="B122" s="10" t="s">
        <v>370</v>
      </c>
      <c r="C122" s="10" t="s">
        <v>378</v>
      </c>
      <c r="D122" s="10" t="s">
        <v>378</v>
      </c>
      <c r="E122" s="31">
        <v>22715000</v>
      </c>
      <c r="F122" s="39">
        <v>-0.3</v>
      </c>
      <c r="G122" s="40">
        <f t="shared" si="0"/>
        <v>-6814500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4.25" customHeight="1">
      <c r="A123" s="10" t="s">
        <v>95</v>
      </c>
      <c r="B123" s="10" t="s">
        <v>379</v>
      </c>
      <c r="C123" s="10" t="s">
        <v>380</v>
      </c>
      <c r="D123" s="10" t="s">
        <v>381</v>
      </c>
      <c r="E123" s="31">
        <v>1242851000</v>
      </c>
      <c r="F123" s="39">
        <v>-0.3</v>
      </c>
      <c r="G123" s="40">
        <f t="shared" si="0"/>
        <v>-372855300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4.25" customHeight="1">
      <c r="A124" s="10" t="s">
        <v>95</v>
      </c>
      <c r="B124" s="10" t="s">
        <v>379</v>
      </c>
      <c r="C124" s="10" t="s">
        <v>380</v>
      </c>
      <c r="D124" s="10" t="s">
        <v>382</v>
      </c>
      <c r="E124" s="31">
        <v>295643000</v>
      </c>
      <c r="F124" s="39">
        <v>-0.3</v>
      </c>
      <c r="G124" s="40">
        <f t="shared" si="0"/>
        <v>-88692900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4.25" customHeight="1">
      <c r="A125" s="10" t="s">
        <v>95</v>
      </c>
      <c r="B125" s="10" t="s">
        <v>379</v>
      </c>
      <c r="C125" s="10" t="s">
        <v>383</v>
      </c>
      <c r="D125" s="10" t="s">
        <v>383</v>
      </c>
      <c r="E125" s="31">
        <v>15000</v>
      </c>
      <c r="F125" s="39">
        <v>-0.3</v>
      </c>
      <c r="G125" s="40">
        <f t="shared" si="0"/>
        <v>-4500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4.25" customHeight="1">
      <c r="A126" s="10" t="s">
        <v>95</v>
      </c>
      <c r="B126" s="10" t="s">
        <v>379</v>
      </c>
      <c r="C126" s="10" t="s">
        <v>384</v>
      </c>
      <c r="D126" s="10" t="s">
        <v>385</v>
      </c>
      <c r="E126" s="31">
        <v>97494000</v>
      </c>
      <c r="F126" s="39">
        <v>-0.3</v>
      </c>
      <c r="G126" s="40">
        <f t="shared" si="0"/>
        <v>-29248200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4.25" customHeight="1">
      <c r="A127" s="10" t="s">
        <v>95</v>
      </c>
      <c r="B127" s="10" t="s">
        <v>379</v>
      </c>
      <c r="C127" s="10" t="s">
        <v>384</v>
      </c>
      <c r="D127" s="10" t="s">
        <v>386</v>
      </c>
      <c r="E127" s="31">
        <v>81254000</v>
      </c>
      <c r="F127" s="39">
        <v>-0.3</v>
      </c>
      <c r="G127" s="40">
        <f t="shared" si="0"/>
        <v>-24376200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4.25" customHeight="1">
      <c r="A128" s="10" t="s">
        <v>95</v>
      </c>
      <c r="B128" s="10" t="s">
        <v>379</v>
      </c>
      <c r="C128" s="10" t="s">
        <v>387</v>
      </c>
      <c r="D128" s="10" t="s">
        <v>387</v>
      </c>
      <c r="E128" s="31">
        <v>112751000</v>
      </c>
      <c r="F128" s="39">
        <v>-0.3</v>
      </c>
      <c r="G128" s="40">
        <f t="shared" si="0"/>
        <v>-33825300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4.25" customHeight="1">
      <c r="A129" s="10" t="s">
        <v>95</v>
      </c>
      <c r="B129" s="10" t="s">
        <v>379</v>
      </c>
      <c r="C129" s="10" t="s">
        <v>388</v>
      </c>
      <c r="D129" s="10" t="s">
        <v>389</v>
      </c>
      <c r="E129" s="31">
        <v>17589000</v>
      </c>
      <c r="F129" s="39">
        <v>-0.3</v>
      </c>
      <c r="G129" s="40">
        <f t="shared" si="0"/>
        <v>-5276700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4.25" customHeight="1">
      <c r="A130" s="10" t="s">
        <v>95</v>
      </c>
      <c r="B130" s="10" t="s">
        <v>379</v>
      </c>
      <c r="C130" s="10" t="s">
        <v>388</v>
      </c>
      <c r="D130" s="10" t="s">
        <v>390</v>
      </c>
      <c r="E130" s="31">
        <v>65004000</v>
      </c>
      <c r="F130" s="39">
        <v>-0.3</v>
      </c>
      <c r="G130" s="40">
        <f t="shared" si="0"/>
        <v>-19501200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4.25" customHeight="1">
      <c r="A131" s="10" t="s">
        <v>95</v>
      </c>
      <c r="B131" s="10" t="s">
        <v>379</v>
      </c>
      <c r="C131" s="10" t="s">
        <v>391</v>
      </c>
      <c r="D131" s="10" t="s">
        <v>391</v>
      </c>
      <c r="E131" s="31">
        <v>326898000</v>
      </c>
      <c r="F131" s="39">
        <v>-0.3</v>
      </c>
      <c r="G131" s="40">
        <f t="shared" si="0"/>
        <v>-98069400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4.25" customHeight="1">
      <c r="A132" s="10" t="s">
        <v>95</v>
      </c>
      <c r="B132" s="10" t="s">
        <v>392</v>
      </c>
      <c r="C132" s="10" t="s">
        <v>393</v>
      </c>
      <c r="D132" s="10" t="s">
        <v>394</v>
      </c>
      <c r="E132" s="31">
        <v>367282000</v>
      </c>
      <c r="F132" s="39">
        <v>-0.3</v>
      </c>
      <c r="G132" s="40">
        <f t="shared" si="0"/>
        <v>-110184600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4.25" customHeight="1">
      <c r="A133" s="10" t="s">
        <v>95</v>
      </c>
      <c r="B133" s="10" t="s">
        <v>392</v>
      </c>
      <c r="C133" s="10" t="s">
        <v>393</v>
      </c>
      <c r="D133" s="10" t="s">
        <v>395</v>
      </c>
      <c r="E133" s="31">
        <v>20909000</v>
      </c>
      <c r="F133" s="39">
        <v>-0.3</v>
      </c>
      <c r="G133" s="40">
        <f t="shared" si="0"/>
        <v>-6272700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4.25" customHeight="1">
      <c r="A134" s="10" t="s">
        <v>95</v>
      </c>
      <c r="B134" s="10" t="s">
        <v>392</v>
      </c>
      <c r="C134" s="10" t="s">
        <v>393</v>
      </c>
      <c r="D134" s="10" t="s">
        <v>396</v>
      </c>
      <c r="E134" s="31">
        <v>78101000</v>
      </c>
      <c r="F134" s="39">
        <v>-0.3</v>
      </c>
      <c r="G134" s="40">
        <f t="shared" si="0"/>
        <v>-23430300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4.25" customHeight="1">
      <c r="A135" s="10" t="s">
        <v>95</v>
      </c>
      <c r="B135" s="10" t="s">
        <v>392</v>
      </c>
      <c r="C135" s="10" t="s">
        <v>393</v>
      </c>
      <c r="D135" s="10" t="s">
        <v>397</v>
      </c>
      <c r="E135" s="31">
        <v>91435000</v>
      </c>
      <c r="F135" s="39">
        <v>-0.3</v>
      </c>
      <c r="G135" s="40">
        <f t="shared" si="0"/>
        <v>-27430500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4.25" customHeight="1">
      <c r="A136" s="10" t="s">
        <v>95</v>
      </c>
      <c r="B136" s="10" t="s">
        <v>392</v>
      </c>
      <c r="C136" s="10" t="s">
        <v>393</v>
      </c>
      <c r="D136" s="10" t="s">
        <v>398</v>
      </c>
      <c r="E136" s="31">
        <v>69189000</v>
      </c>
      <c r="F136" s="39">
        <v>-0.3</v>
      </c>
      <c r="G136" s="40">
        <f t="shared" si="0"/>
        <v>-20756700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4.25" customHeight="1">
      <c r="A137" s="10" t="s">
        <v>95</v>
      </c>
      <c r="B137" s="10" t="s">
        <v>392</v>
      </c>
      <c r="C137" s="10" t="s">
        <v>399</v>
      </c>
      <c r="D137" s="10" t="s">
        <v>400</v>
      </c>
      <c r="E137" s="31">
        <v>34758000</v>
      </c>
      <c r="F137" s="39">
        <v>-0.3</v>
      </c>
      <c r="G137" s="40">
        <f t="shared" si="0"/>
        <v>-10427400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4.25" customHeight="1">
      <c r="A138" s="10" t="s">
        <v>95</v>
      </c>
      <c r="B138" s="10" t="s">
        <v>392</v>
      </c>
      <c r="C138" s="10" t="s">
        <v>399</v>
      </c>
      <c r="D138" s="10" t="s">
        <v>401</v>
      </c>
      <c r="E138" s="31">
        <v>115667000</v>
      </c>
      <c r="F138" s="39">
        <v>-0.3</v>
      </c>
      <c r="G138" s="40">
        <f t="shared" si="0"/>
        <v>-34700100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4.25" customHeight="1">
      <c r="A139" s="10" t="s">
        <v>95</v>
      </c>
      <c r="B139" s="10" t="s">
        <v>392</v>
      </c>
      <c r="C139" s="10" t="s">
        <v>399</v>
      </c>
      <c r="D139" s="10" t="s">
        <v>402</v>
      </c>
      <c r="E139" s="31">
        <v>15998000</v>
      </c>
      <c r="F139" s="39">
        <v>-0.3</v>
      </c>
      <c r="G139" s="40">
        <f t="shared" si="0"/>
        <v>-4799400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4.25" customHeight="1">
      <c r="A140" s="10" t="s">
        <v>95</v>
      </c>
      <c r="B140" s="10" t="s">
        <v>392</v>
      </c>
      <c r="C140" s="10" t="s">
        <v>399</v>
      </c>
      <c r="D140" s="10" t="s">
        <v>403</v>
      </c>
      <c r="E140" s="31">
        <v>4686000</v>
      </c>
      <c r="F140" s="39">
        <v>-0.3</v>
      </c>
      <c r="G140" s="40">
        <f t="shared" si="0"/>
        <v>-1405800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4.25" customHeight="1">
      <c r="A141" s="10" t="s">
        <v>95</v>
      </c>
      <c r="B141" s="10" t="s">
        <v>392</v>
      </c>
      <c r="C141" s="10" t="s">
        <v>399</v>
      </c>
      <c r="D141" s="10" t="s">
        <v>404</v>
      </c>
      <c r="E141" s="31">
        <v>239639000</v>
      </c>
      <c r="F141" s="39">
        <v>-0.3</v>
      </c>
      <c r="G141" s="40">
        <f t="shared" si="0"/>
        <v>-71891700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4.25" customHeight="1">
      <c r="A142" s="10" t="s">
        <v>95</v>
      </c>
      <c r="B142" s="10" t="s">
        <v>392</v>
      </c>
      <c r="C142" s="10" t="s">
        <v>399</v>
      </c>
      <c r="D142" s="10" t="s">
        <v>405</v>
      </c>
      <c r="E142" s="31">
        <v>290873000</v>
      </c>
      <c r="F142" s="39">
        <v>-0.3</v>
      </c>
      <c r="G142" s="40">
        <f t="shared" si="0"/>
        <v>-87261900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4.25" customHeight="1">
      <c r="A143" s="10" t="s">
        <v>95</v>
      </c>
      <c r="B143" s="10" t="s">
        <v>392</v>
      </c>
      <c r="C143" s="10" t="s">
        <v>406</v>
      </c>
      <c r="D143" s="10" t="s">
        <v>406</v>
      </c>
      <c r="E143" s="31">
        <v>181641000</v>
      </c>
      <c r="F143" s="39">
        <v>-0.3</v>
      </c>
      <c r="G143" s="40">
        <f t="shared" si="0"/>
        <v>-54492300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4.25" customHeight="1">
      <c r="A144" s="10" t="s">
        <v>95</v>
      </c>
      <c r="B144" s="10" t="s">
        <v>392</v>
      </c>
      <c r="C144" s="10" t="s">
        <v>407</v>
      </c>
      <c r="D144" s="10" t="s">
        <v>408</v>
      </c>
      <c r="E144" s="31">
        <v>67187000</v>
      </c>
      <c r="F144" s="39">
        <v>-0.3</v>
      </c>
      <c r="G144" s="40">
        <f t="shared" si="0"/>
        <v>-20156100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4.25" customHeight="1">
      <c r="A145" s="10" t="s">
        <v>95</v>
      </c>
      <c r="B145" s="10" t="s">
        <v>392</v>
      </c>
      <c r="C145" s="10" t="s">
        <v>407</v>
      </c>
      <c r="D145" s="10" t="s">
        <v>409</v>
      </c>
      <c r="E145" s="31">
        <v>15696000</v>
      </c>
      <c r="F145" s="39">
        <v>-0.3</v>
      </c>
      <c r="G145" s="40">
        <f t="shared" si="0"/>
        <v>-4708800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4.25" customHeight="1">
      <c r="A146" s="10" t="s">
        <v>95</v>
      </c>
      <c r="B146" s="10" t="s">
        <v>392</v>
      </c>
      <c r="C146" s="10" t="s">
        <v>410</v>
      </c>
      <c r="D146" s="10" t="s">
        <v>411</v>
      </c>
      <c r="E146" s="31">
        <v>486000</v>
      </c>
      <c r="F146" s="39">
        <v>-0.3</v>
      </c>
      <c r="G146" s="40">
        <f t="shared" si="0"/>
        <v>-145800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4.25" customHeight="1">
      <c r="A147" s="10" t="s">
        <v>95</v>
      </c>
      <c r="B147" s="10" t="s">
        <v>392</v>
      </c>
      <c r="C147" s="10" t="s">
        <v>410</v>
      </c>
      <c r="D147" s="10" t="s">
        <v>412</v>
      </c>
      <c r="E147" s="31">
        <v>208250000</v>
      </c>
      <c r="F147" s="39">
        <v>-0.3</v>
      </c>
      <c r="G147" s="40">
        <f t="shared" si="0"/>
        <v>-62475000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4.25" customHeight="1">
      <c r="A148" s="10" t="s">
        <v>95</v>
      </c>
      <c r="B148" s="10" t="s">
        <v>392</v>
      </c>
      <c r="C148" s="10" t="s">
        <v>410</v>
      </c>
      <c r="D148" s="10" t="s">
        <v>413</v>
      </c>
      <c r="E148" s="31">
        <v>59872000</v>
      </c>
      <c r="F148" s="39">
        <v>-0.3</v>
      </c>
      <c r="G148" s="40">
        <f t="shared" si="0"/>
        <v>-17961600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4.25" customHeight="1">
      <c r="A149" s="10" t="s">
        <v>95</v>
      </c>
      <c r="B149" s="10" t="s">
        <v>392</v>
      </c>
      <c r="C149" s="10" t="s">
        <v>410</v>
      </c>
      <c r="D149" s="10" t="s">
        <v>414</v>
      </c>
      <c r="E149" s="31">
        <v>99991000</v>
      </c>
      <c r="F149" s="39">
        <v>-0.3</v>
      </c>
      <c r="G149" s="40">
        <f t="shared" si="0"/>
        <v>-29997300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4.25" customHeight="1">
      <c r="A150" s="10" t="s">
        <v>95</v>
      </c>
      <c r="B150" s="10" t="s">
        <v>415</v>
      </c>
      <c r="C150" s="10" t="s">
        <v>416</v>
      </c>
      <c r="D150" s="10" t="s">
        <v>416</v>
      </c>
      <c r="E150" s="31">
        <v>46975000</v>
      </c>
      <c r="F150" s="39">
        <v>-0.5</v>
      </c>
      <c r="G150" s="40">
        <f t="shared" si="0"/>
        <v>-23487500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4.25" customHeight="1">
      <c r="A151" s="10" t="s">
        <v>95</v>
      </c>
      <c r="B151" s="10" t="s">
        <v>415</v>
      </c>
      <c r="C151" s="10" t="s">
        <v>417</v>
      </c>
      <c r="D151" s="10" t="s">
        <v>417</v>
      </c>
      <c r="E151" s="31">
        <v>83369000</v>
      </c>
      <c r="F151" s="39">
        <v>-0.5</v>
      </c>
      <c r="G151" s="40">
        <f t="shared" si="0"/>
        <v>-41684500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4.25" customHeight="1">
      <c r="A152" s="10" t="s">
        <v>95</v>
      </c>
      <c r="B152" s="10" t="s">
        <v>415</v>
      </c>
      <c r="C152" s="10" t="s">
        <v>418</v>
      </c>
      <c r="D152" s="10" t="s">
        <v>419</v>
      </c>
      <c r="E152" s="31">
        <v>25908000</v>
      </c>
      <c r="F152" s="39">
        <v>-0.5</v>
      </c>
      <c r="G152" s="40">
        <f t="shared" si="0"/>
        <v>-12954000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4.25" customHeight="1">
      <c r="A153" s="10" t="s">
        <v>95</v>
      </c>
      <c r="B153" s="10" t="s">
        <v>415</v>
      </c>
      <c r="C153" s="10" t="s">
        <v>418</v>
      </c>
      <c r="D153" s="10" t="s">
        <v>423</v>
      </c>
      <c r="E153" s="31">
        <v>228584000</v>
      </c>
      <c r="F153" s="39">
        <v>-0.5</v>
      </c>
      <c r="G153" s="40">
        <f t="shared" si="0"/>
        <v>-114292000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4.25" customHeight="1">
      <c r="A154" s="10" t="s">
        <v>95</v>
      </c>
      <c r="B154" s="10" t="s">
        <v>426</v>
      </c>
      <c r="C154" s="10" t="s">
        <v>428</v>
      </c>
      <c r="D154" s="10" t="s">
        <v>430</v>
      </c>
      <c r="E154" s="31">
        <v>465798000</v>
      </c>
      <c r="F154" s="39">
        <v>-0.5</v>
      </c>
      <c r="G154" s="40">
        <f t="shared" si="0"/>
        <v>-232899000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4.25" customHeight="1">
      <c r="A155" s="10" t="s">
        <v>95</v>
      </c>
      <c r="B155" s="10" t="s">
        <v>426</v>
      </c>
      <c r="C155" s="10" t="s">
        <v>428</v>
      </c>
      <c r="D155" s="10" t="s">
        <v>443</v>
      </c>
      <c r="E155" s="31">
        <v>17526000</v>
      </c>
      <c r="F155" s="39">
        <v>-0.5</v>
      </c>
      <c r="G155" s="40">
        <f t="shared" si="0"/>
        <v>-8763000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4.25" customHeight="1">
      <c r="A156" s="10" t="s">
        <v>95</v>
      </c>
      <c r="B156" s="10" t="s">
        <v>426</v>
      </c>
      <c r="C156" s="10" t="s">
        <v>455</v>
      </c>
      <c r="D156" s="10" t="s">
        <v>455</v>
      </c>
      <c r="E156" s="31">
        <v>209351000</v>
      </c>
      <c r="F156" s="39">
        <v>-0.3</v>
      </c>
      <c r="G156" s="40">
        <f t="shared" si="0"/>
        <v>-62805300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4.25" customHeight="1">
      <c r="A157" s="10" t="s">
        <v>95</v>
      </c>
      <c r="B157" s="10" t="s">
        <v>426</v>
      </c>
      <c r="C157" s="10" t="s">
        <v>471</v>
      </c>
      <c r="D157" s="10" t="s">
        <v>471</v>
      </c>
      <c r="E157" s="31">
        <v>199379000</v>
      </c>
      <c r="F157" s="39">
        <v>-0.3</v>
      </c>
      <c r="G157" s="40">
        <f t="shared" si="0"/>
        <v>-59813700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4.25" customHeight="1">
      <c r="A158" s="10" t="s">
        <v>95</v>
      </c>
      <c r="B158" s="10" t="s">
        <v>426</v>
      </c>
      <c r="C158" s="10" t="s">
        <v>475</v>
      </c>
      <c r="D158" s="10" t="s">
        <v>476</v>
      </c>
      <c r="E158" s="31">
        <v>2545000</v>
      </c>
      <c r="F158" s="39">
        <v>-0.3</v>
      </c>
      <c r="G158" s="40">
        <f t="shared" si="0"/>
        <v>-763500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4.25" customHeight="1">
      <c r="A159" s="10" t="s">
        <v>95</v>
      </c>
      <c r="B159" s="10" t="s">
        <v>426</v>
      </c>
      <c r="C159" s="10" t="s">
        <v>475</v>
      </c>
      <c r="D159" s="10" t="s">
        <v>477</v>
      </c>
      <c r="E159" s="31">
        <v>5067000</v>
      </c>
      <c r="F159" s="39">
        <v>-0.3</v>
      </c>
      <c r="G159" s="40">
        <f t="shared" si="0"/>
        <v>-1520100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4.25" customHeight="1">
      <c r="A160" s="10" t="s">
        <v>95</v>
      </c>
      <c r="B160" s="10" t="s">
        <v>426</v>
      </c>
      <c r="C160" s="10" t="s">
        <v>475</v>
      </c>
      <c r="D160" s="10" t="s">
        <v>479</v>
      </c>
      <c r="E160" s="31">
        <v>337000</v>
      </c>
      <c r="F160" s="39">
        <v>-0.3</v>
      </c>
      <c r="G160" s="40">
        <f t="shared" si="0"/>
        <v>-101100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4.25" customHeight="1">
      <c r="A161" s="10" t="s">
        <v>95</v>
      </c>
      <c r="B161" s="10" t="s">
        <v>480</v>
      </c>
      <c r="C161" s="10" t="s">
        <v>480</v>
      </c>
      <c r="D161" s="10" t="s">
        <v>481</v>
      </c>
      <c r="E161" s="31">
        <v>265577000</v>
      </c>
      <c r="F161" s="39">
        <v>-0.5</v>
      </c>
      <c r="G161" s="40">
        <f t="shared" si="0"/>
        <v>-132788500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4.25" customHeight="1">
      <c r="A162" s="10" t="s">
        <v>95</v>
      </c>
      <c r="B162" s="10" t="s">
        <v>480</v>
      </c>
      <c r="C162" s="10" t="s">
        <v>480</v>
      </c>
      <c r="D162" s="10" t="s">
        <v>482</v>
      </c>
      <c r="E162" s="31">
        <v>77149000</v>
      </c>
      <c r="F162" s="39">
        <v>-0.5</v>
      </c>
      <c r="G162" s="40">
        <f t="shared" si="0"/>
        <v>-38574500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4.25" customHeight="1">
      <c r="A163" s="10" t="s">
        <v>95</v>
      </c>
      <c r="B163" s="10" t="s">
        <v>480</v>
      </c>
      <c r="C163" s="10" t="s">
        <v>480</v>
      </c>
      <c r="D163" s="10" t="s">
        <v>483</v>
      </c>
      <c r="E163" s="31">
        <v>297232000</v>
      </c>
      <c r="F163" s="39">
        <v>-0.5</v>
      </c>
      <c r="G163" s="40">
        <f t="shared" si="0"/>
        <v>-148616000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4.25" customHeight="1">
      <c r="A164" s="10" t="s">
        <v>95</v>
      </c>
      <c r="B164" s="10" t="s">
        <v>480</v>
      </c>
      <c r="C164" s="10" t="s">
        <v>480</v>
      </c>
      <c r="D164" s="10" t="s">
        <v>484</v>
      </c>
      <c r="E164" s="31">
        <v>588540000</v>
      </c>
      <c r="F164" s="39">
        <v>-0.5</v>
      </c>
      <c r="G164" s="40">
        <f t="shared" si="0"/>
        <v>-294270000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4.25" customHeight="1">
      <c r="A165" s="10" t="s">
        <v>95</v>
      </c>
      <c r="B165" s="10" t="s">
        <v>485</v>
      </c>
      <c r="C165" s="10" t="s">
        <v>486</v>
      </c>
      <c r="D165" s="10" t="s">
        <v>487</v>
      </c>
      <c r="E165" s="31">
        <v>38019000</v>
      </c>
      <c r="F165" s="39">
        <v>-0.5</v>
      </c>
      <c r="G165" s="40">
        <f t="shared" si="0"/>
        <v>-19009500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4.25" customHeight="1">
      <c r="A166" s="10" t="s">
        <v>95</v>
      </c>
      <c r="B166" s="10" t="s">
        <v>485</v>
      </c>
      <c r="C166" s="10" t="s">
        <v>489</v>
      </c>
      <c r="D166" s="10" t="s">
        <v>489</v>
      </c>
      <c r="E166" s="31">
        <v>2839000</v>
      </c>
      <c r="F166" s="39">
        <v>-0.5</v>
      </c>
      <c r="G166" s="40">
        <f t="shared" si="0"/>
        <v>-1419500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4.25" customHeight="1">
      <c r="A167" s="10" t="s">
        <v>95</v>
      </c>
      <c r="B167" s="10" t="s">
        <v>485</v>
      </c>
      <c r="C167" s="10" t="s">
        <v>490</v>
      </c>
      <c r="D167" s="10" t="s">
        <v>490</v>
      </c>
      <c r="E167" s="31">
        <v>25507000</v>
      </c>
      <c r="F167" s="39">
        <v>-0.5</v>
      </c>
      <c r="G167" s="40">
        <f t="shared" si="0"/>
        <v>-12753500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4.25" customHeight="1">
      <c r="A168" s="10" t="s">
        <v>95</v>
      </c>
      <c r="B168" s="10" t="s">
        <v>485</v>
      </c>
      <c r="C168" s="10" t="s">
        <v>491</v>
      </c>
      <c r="D168" s="10" t="s">
        <v>491</v>
      </c>
      <c r="E168" s="31">
        <v>29770000</v>
      </c>
      <c r="F168" s="39">
        <v>-0.5</v>
      </c>
      <c r="G168" s="40">
        <f t="shared" si="0"/>
        <v>-14885000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4.25" customHeight="1">
      <c r="A169" s="10" t="s">
        <v>95</v>
      </c>
      <c r="B169" s="10" t="s">
        <v>485</v>
      </c>
      <c r="C169" s="10" t="s">
        <v>497</v>
      </c>
      <c r="D169" s="10" t="s">
        <v>497</v>
      </c>
      <c r="E169" s="31">
        <v>221987000</v>
      </c>
      <c r="F169" s="39">
        <v>-0.3</v>
      </c>
      <c r="G169" s="40">
        <f t="shared" si="0"/>
        <v>-66596100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4.25" customHeight="1">
      <c r="A170" s="10" t="s">
        <v>95</v>
      </c>
      <c r="B170" s="10" t="s">
        <v>485</v>
      </c>
      <c r="C170" s="10" t="s">
        <v>501</v>
      </c>
      <c r="D170" s="10" t="s">
        <v>502</v>
      </c>
      <c r="E170" s="31">
        <v>4091000</v>
      </c>
      <c r="F170" s="39">
        <v>-0.3</v>
      </c>
      <c r="G170" s="40">
        <f t="shared" si="0"/>
        <v>-1227300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4.25" customHeight="1">
      <c r="A171" s="10" t="s">
        <v>95</v>
      </c>
      <c r="B171" s="10" t="s">
        <v>485</v>
      </c>
      <c r="C171" s="10" t="s">
        <v>501</v>
      </c>
      <c r="D171" s="10" t="s">
        <v>503</v>
      </c>
      <c r="E171" s="31">
        <v>139831000</v>
      </c>
      <c r="F171" s="39">
        <v>-0.3</v>
      </c>
      <c r="G171" s="40">
        <f t="shared" si="0"/>
        <v>-41949300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4.25" customHeight="1">
      <c r="A172" s="10" t="s">
        <v>95</v>
      </c>
      <c r="B172" s="10" t="s">
        <v>505</v>
      </c>
      <c r="C172" s="10" t="s">
        <v>506</v>
      </c>
      <c r="D172" s="10" t="s">
        <v>507</v>
      </c>
      <c r="E172" s="31">
        <v>305352000</v>
      </c>
      <c r="F172" s="39">
        <v>-0.5</v>
      </c>
      <c r="G172" s="40">
        <f t="shared" si="0"/>
        <v>-152676000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4.25" customHeight="1">
      <c r="A173" s="10" t="s">
        <v>95</v>
      </c>
      <c r="B173" s="10" t="s">
        <v>505</v>
      </c>
      <c r="C173" s="10" t="s">
        <v>506</v>
      </c>
      <c r="D173" s="10" t="s">
        <v>509</v>
      </c>
      <c r="E173" s="31">
        <v>319239000</v>
      </c>
      <c r="F173" s="39">
        <v>-0.5</v>
      </c>
      <c r="G173" s="40">
        <f t="shared" si="0"/>
        <v>-159619500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4.25" customHeight="1">
      <c r="A174" s="10" t="s">
        <v>95</v>
      </c>
      <c r="B174" s="10" t="s">
        <v>505</v>
      </c>
      <c r="C174" s="10" t="s">
        <v>506</v>
      </c>
      <c r="D174" s="10" t="s">
        <v>511</v>
      </c>
      <c r="E174" s="31">
        <v>85504000</v>
      </c>
      <c r="F174" s="39">
        <v>-0.5</v>
      </c>
      <c r="G174" s="40">
        <f t="shared" si="0"/>
        <v>-42752000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4.25" customHeight="1">
      <c r="A175" s="10" t="s">
        <v>95</v>
      </c>
      <c r="B175" s="10" t="s">
        <v>505</v>
      </c>
      <c r="C175" s="10" t="s">
        <v>506</v>
      </c>
      <c r="D175" s="10" t="s">
        <v>513</v>
      </c>
      <c r="E175" s="31">
        <v>98605000</v>
      </c>
      <c r="F175" s="39">
        <v>-0.5</v>
      </c>
      <c r="G175" s="40">
        <f t="shared" si="0"/>
        <v>-49302500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4.25" customHeight="1">
      <c r="A176" s="10" t="s">
        <v>95</v>
      </c>
      <c r="B176" s="10" t="s">
        <v>505</v>
      </c>
      <c r="C176" s="10" t="s">
        <v>506</v>
      </c>
      <c r="D176" s="10" t="s">
        <v>514</v>
      </c>
      <c r="E176" s="31">
        <v>544303000</v>
      </c>
      <c r="F176" s="39">
        <v>-0.5</v>
      </c>
      <c r="G176" s="40">
        <f t="shared" si="0"/>
        <v>-272151500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4.25" customHeight="1">
      <c r="A177" s="10" t="s">
        <v>95</v>
      </c>
      <c r="B177" s="10" t="s">
        <v>505</v>
      </c>
      <c r="C177" s="10" t="s">
        <v>506</v>
      </c>
      <c r="D177" s="10" t="s">
        <v>515</v>
      </c>
      <c r="E177" s="31">
        <v>5721000</v>
      </c>
      <c r="F177" s="39">
        <v>-0.5</v>
      </c>
      <c r="G177" s="40">
        <f t="shared" si="0"/>
        <v>-2860500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4.25" customHeight="1">
      <c r="A178" s="10" t="s">
        <v>95</v>
      </c>
      <c r="B178" s="10" t="s">
        <v>505</v>
      </c>
      <c r="C178" s="10" t="s">
        <v>506</v>
      </c>
      <c r="D178" s="10" t="s">
        <v>516</v>
      </c>
      <c r="E178" s="31">
        <v>185247000</v>
      </c>
      <c r="F178" s="39">
        <v>-0.5</v>
      </c>
      <c r="G178" s="40">
        <f t="shared" si="0"/>
        <v>-92623500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4.25" customHeight="1">
      <c r="A179" s="10" t="s">
        <v>95</v>
      </c>
      <c r="B179" s="10" t="s">
        <v>505</v>
      </c>
      <c r="C179" s="10" t="s">
        <v>506</v>
      </c>
      <c r="D179" s="10" t="s">
        <v>517</v>
      </c>
      <c r="E179" s="31">
        <v>3267000</v>
      </c>
      <c r="F179" s="39">
        <v>-0.5</v>
      </c>
      <c r="G179" s="40">
        <f t="shared" si="0"/>
        <v>-1633500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4.25" customHeight="1">
      <c r="A180" s="10" t="s">
        <v>95</v>
      </c>
      <c r="B180" s="10" t="s">
        <v>505</v>
      </c>
      <c r="C180" s="10" t="s">
        <v>518</v>
      </c>
      <c r="D180" s="10" t="s">
        <v>518</v>
      </c>
      <c r="E180" s="31">
        <v>487903000</v>
      </c>
      <c r="F180" s="39">
        <v>-0.5</v>
      </c>
      <c r="G180" s="40">
        <f t="shared" si="0"/>
        <v>-243951500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4.25" customHeight="1">
      <c r="A181" s="10" t="s">
        <v>519</v>
      </c>
      <c r="B181" s="10" t="s">
        <v>520</v>
      </c>
      <c r="C181" s="10" t="s">
        <v>521</v>
      </c>
      <c r="D181" s="10" t="s">
        <v>522</v>
      </c>
      <c r="E181" s="31">
        <v>2287492000</v>
      </c>
      <c r="F181" s="39">
        <v>0</v>
      </c>
      <c r="G181" s="40">
        <f t="shared" si="0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4.25" customHeight="1">
      <c r="A182" s="10" t="s">
        <v>519</v>
      </c>
      <c r="B182" s="10" t="s">
        <v>520</v>
      </c>
      <c r="C182" s="10" t="s">
        <v>521</v>
      </c>
      <c r="D182" s="10" t="s">
        <v>523</v>
      </c>
      <c r="E182" s="31">
        <v>3544162000</v>
      </c>
      <c r="F182" s="39">
        <v>0</v>
      </c>
      <c r="G182" s="40">
        <f t="shared" si="0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4.25" customHeight="1">
      <c r="A183" s="10" t="s">
        <v>519</v>
      </c>
      <c r="B183" s="10" t="s">
        <v>520</v>
      </c>
      <c r="C183" s="10" t="s">
        <v>524</v>
      </c>
      <c r="D183" s="10" t="s">
        <v>525</v>
      </c>
      <c r="E183" s="31">
        <v>1011374000</v>
      </c>
      <c r="F183" s="39">
        <v>0</v>
      </c>
      <c r="G183" s="40">
        <f t="shared" si="0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4.25" customHeight="1">
      <c r="A184" s="10" t="s">
        <v>519</v>
      </c>
      <c r="B184" s="10" t="s">
        <v>520</v>
      </c>
      <c r="C184" s="10" t="s">
        <v>524</v>
      </c>
      <c r="D184" s="10" t="s">
        <v>526</v>
      </c>
      <c r="E184" s="31">
        <v>15514000</v>
      </c>
      <c r="F184" s="39">
        <v>0</v>
      </c>
      <c r="G184" s="40">
        <f t="shared" si="0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4.25" customHeight="1">
      <c r="A185" s="10" t="s">
        <v>519</v>
      </c>
      <c r="B185" s="10" t="s">
        <v>520</v>
      </c>
      <c r="C185" s="10" t="s">
        <v>527</v>
      </c>
      <c r="D185" s="10" t="s">
        <v>527</v>
      </c>
      <c r="E185" s="31">
        <v>242709000</v>
      </c>
      <c r="F185" s="39">
        <v>0</v>
      </c>
      <c r="G185" s="40">
        <f t="shared" si="0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4.25" customHeight="1">
      <c r="A186" s="10" t="s">
        <v>528</v>
      </c>
      <c r="B186" s="10" t="s">
        <v>529</v>
      </c>
      <c r="C186" s="10" t="s">
        <v>529</v>
      </c>
      <c r="D186" s="10" t="s">
        <v>529</v>
      </c>
      <c r="E186" s="31">
        <v>1898703000</v>
      </c>
      <c r="F186" s="39">
        <v>0</v>
      </c>
      <c r="G186" s="40">
        <f t="shared" si="0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4.25" customHeight="1">
      <c r="A187" s="10" t="s">
        <v>528</v>
      </c>
      <c r="B187" s="10" t="s">
        <v>530</v>
      </c>
      <c r="C187" s="10" t="s">
        <v>530</v>
      </c>
      <c r="D187" s="10" t="s">
        <v>530</v>
      </c>
      <c r="E187" s="31">
        <v>154999000</v>
      </c>
      <c r="F187" s="39">
        <v>0</v>
      </c>
      <c r="G187" s="40">
        <f t="shared" si="0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4.25" customHeight="1">
      <c r="A188" s="10" t="s">
        <v>528</v>
      </c>
      <c r="B188" s="10" t="s">
        <v>531</v>
      </c>
      <c r="C188" s="10" t="s">
        <v>532</v>
      </c>
      <c r="D188" s="10" t="s">
        <v>533</v>
      </c>
      <c r="E188" s="31">
        <v>1287595000</v>
      </c>
      <c r="F188" s="39">
        <v>0</v>
      </c>
      <c r="G188" s="40">
        <f t="shared" si="0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4.25" customHeight="1">
      <c r="A189" s="10" t="s">
        <v>528</v>
      </c>
      <c r="B189" s="10" t="s">
        <v>531</v>
      </c>
      <c r="C189" s="10" t="s">
        <v>532</v>
      </c>
      <c r="D189" s="10" t="s">
        <v>534</v>
      </c>
      <c r="E189" s="31">
        <v>40879000</v>
      </c>
      <c r="F189" s="39">
        <v>0</v>
      </c>
      <c r="G189" s="40">
        <f t="shared" si="0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4.25" customHeight="1">
      <c r="A190" s="10" t="s">
        <v>528</v>
      </c>
      <c r="B190" s="10" t="s">
        <v>531</v>
      </c>
      <c r="C190" s="10" t="s">
        <v>535</v>
      </c>
      <c r="D190" s="10" t="s">
        <v>536</v>
      </c>
      <c r="E190" s="31">
        <v>153128000</v>
      </c>
      <c r="F190" s="39">
        <v>0</v>
      </c>
      <c r="G190" s="40">
        <f t="shared" si="0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4.25" customHeight="1">
      <c r="A191" s="10" t="s">
        <v>528</v>
      </c>
      <c r="B191" s="10" t="s">
        <v>531</v>
      </c>
      <c r="C191" s="10" t="s">
        <v>535</v>
      </c>
      <c r="D191" s="10" t="s">
        <v>537</v>
      </c>
      <c r="E191" s="31">
        <v>35228000</v>
      </c>
      <c r="F191" s="39">
        <v>0</v>
      </c>
      <c r="G191" s="40">
        <f t="shared" si="0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4.25" customHeight="1">
      <c r="A192" s="10" t="s">
        <v>528</v>
      </c>
      <c r="B192" s="10" t="s">
        <v>538</v>
      </c>
      <c r="C192" s="10" t="s">
        <v>538</v>
      </c>
      <c r="D192" s="10" t="s">
        <v>538</v>
      </c>
      <c r="E192" s="31">
        <v>316711000</v>
      </c>
      <c r="F192" s="39">
        <v>0</v>
      </c>
      <c r="G192" s="40">
        <f t="shared" si="0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4.25" customHeight="1">
      <c r="A193" s="10" t="s">
        <v>539</v>
      </c>
      <c r="B193" s="10" t="s">
        <v>540</v>
      </c>
      <c r="C193" s="10" t="s">
        <v>541</v>
      </c>
      <c r="D193" s="10" t="s">
        <v>541</v>
      </c>
      <c r="E193" s="31">
        <v>374507000</v>
      </c>
      <c r="F193" s="39">
        <v>-0.3</v>
      </c>
      <c r="G193" s="40">
        <f t="shared" si="0"/>
        <v>-112352100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4.25" customHeight="1">
      <c r="A194" s="10" t="s">
        <v>539</v>
      </c>
      <c r="B194" s="10" t="s">
        <v>540</v>
      </c>
      <c r="C194" s="10" t="s">
        <v>542</v>
      </c>
      <c r="D194" s="10" t="s">
        <v>542</v>
      </c>
      <c r="E194" s="31">
        <v>4097413000</v>
      </c>
      <c r="F194" s="39">
        <v>-0.3</v>
      </c>
      <c r="G194" s="40">
        <f t="shared" si="0"/>
        <v>-1229223900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4.25" customHeight="1">
      <c r="A195" s="10" t="s">
        <v>539</v>
      </c>
      <c r="B195" s="10" t="s">
        <v>543</v>
      </c>
      <c r="C195" s="10" t="s">
        <v>544</v>
      </c>
      <c r="D195" s="10" t="s">
        <v>545</v>
      </c>
      <c r="E195" s="31">
        <v>2971669000</v>
      </c>
      <c r="F195" s="39">
        <v>-0.3</v>
      </c>
      <c r="G195" s="40">
        <f t="shared" si="0"/>
        <v>-891500700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4.25" customHeight="1">
      <c r="A196" s="10" t="s">
        <v>539</v>
      </c>
      <c r="B196" s="10" t="s">
        <v>543</v>
      </c>
      <c r="C196" s="10" t="s">
        <v>546</v>
      </c>
      <c r="D196" s="10" t="s">
        <v>547</v>
      </c>
      <c r="E196" s="31">
        <v>459519000</v>
      </c>
      <c r="F196" s="39">
        <v>-0.3</v>
      </c>
      <c r="G196" s="40">
        <f t="shared" si="0"/>
        <v>-137855700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4.25" customHeight="1">
      <c r="A197" s="10" t="s">
        <v>539</v>
      </c>
      <c r="B197" s="10" t="s">
        <v>543</v>
      </c>
      <c r="C197" s="10" t="s">
        <v>546</v>
      </c>
      <c r="D197" s="10" t="s">
        <v>548</v>
      </c>
      <c r="E197" s="31">
        <v>544780000</v>
      </c>
      <c r="F197" s="39">
        <v>-0.3</v>
      </c>
      <c r="G197" s="40">
        <f t="shared" si="0"/>
        <v>-163434000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4.25" customHeight="1">
      <c r="A198" s="10" t="s">
        <v>539</v>
      </c>
      <c r="B198" s="10" t="s">
        <v>543</v>
      </c>
      <c r="C198" s="10" t="s">
        <v>549</v>
      </c>
      <c r="D198" s="10" t="s">
        <v>550</v>
      </c>
      <c r="E198" s="31">
        <v>374638000</v>
      </c>
      <c r="F198" s="39">
        <v>-0.3</v>
      </c>
      <c r="G198" s="40">
        <f t="shared" si="0"/>
        <v>-112391400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4.25" customHeight="1">
      <c r="A199" s="10" t="s">
        <v>539</v>
      </c>
      <c r="B199" s="10" t="s">
        <v>543</v>
      </c>
      <c r="C199" s="10" t="s">
        <v>549</v>
      </c>
      <c r="D199" s="10" t="s">
        <v>551</v>
      </c>
      <c r="E199" s="31">
        <v>330295000</v>
      </c>
      <c r="F199" s="39">
        <v>-0.3</v>
      </c>
      <c r="G199" s="40">
        <f t="shared" si="0"/>
        <v>-99088500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4.25" customHeight="1">
      <c r="A200" s="10" t="s">
        <v>539</v>
      </c>
      <c r="B200" s="10" t="s">
        <v>552</v>
      </c>
      <c r="C200" s="10" t="s">
        <v>553</v>
      </c>
      <c r="D200" s="10" t="s">
        <v>554</v>
      </c>
      <c r="E200" s="31">
        <v>34521000</v>
      </c>
      <c r="F200" s="39">
        <v>-0.3</v>
      </c>
      <c r="G200" s="40">
        <f t="shared" si="0"/>
        <v>-10356300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4.25" customHeight="1">
      <c r="A201" s="10" t="s">
        <v>539</v>
      </c>
      <c r="B201" s="10" t="s">
        <v>552</v>
      </c>
      <c r="C201" s="10" t="s">
        <v>553</v>
      </c>
      <c r="D201" s="10" t="s">
        <v>555</v>
      </c>
      <c r="E201" s="31">
        <v>416746000</v>
      </c>
      <c r="F201" s="39">
        <v>-0.3</v>
      </c>
      <c r="G201" s="40">
        <f t="shared" si="0"/>
        <v>-125023800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4.25" customHeight="1">
      <c r="A202" s="10" t="s">
        <v>539</v>
      </c>
      <c r="B202" s="10" t="s">
        <v>552</v>
      </c>
      <c r="C202" s="10" t="s">
        <v>553</v>
      </c>
      <c r="D202" s="10" t="s">
        <v>556</v>
      </c>
      <c r="E202" s="31">
        <v>12105000</v>
      </c>
      <c r="F202" s="39">
        <v>-0.3</v>
      </c>
      <c r="G202" s="40">
        <f t="shared" si="0"/>
        <v>-3631500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4.25" customHeight="1">
      <c r="A203" s="10" t="s">
        <v>539</v>
      </c>
      <c r="B203" s="10" t="s">
        <v>552</v>
      </c>
      <c r="C203" s="10" t="s">
        <v>557</v>
      </c>
      <c r="D203" s="10" t="s">
        <v>558</v>
      </c>
      <c r="E203" s="31">
        <v>1219270000</v>
      </c>
      <c r="F203" s="39">
        <v>-0.3</v>
      </c>
      <c r="G203" s="40">
        <f t="shared" si="0"/>
        <v>-365781000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4.25" customHeight="1">
      <c r="A204" s="10" t="s">
        <v>539</v>
      </c>
      <c r="B204" s="10" t="s">
        <v>552</v>
      </c>
      <c r="C204" s="10" t="s">
        <v>557</v>
      </c>
      <c r="D204" s="10" t="s">
        <v>559</v>
      </c>
      <c r="E204" s="31">
        <v>1060274000</v>
      </c>
      <c r="F204" s="39">
        <v>-0.3</v>
      </c>
      <c r="G204" s="40">
        <f t="shared" si="0"/>
        <v>-318082200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4.25" customHeight="1">
      <c r="A205" s="10" t="s">
        <v>539</v>
      </c>
      <c r="B205" s="10" t="s">
        <v>552</v>
      </c>
      <c r="C205" s="10" t="s">
        <v>557</v>
      </c>
      <c r="D205" s="10" t="s">
        <v>560</v>
      </c>
      <c r="E205" s="31">
        <v>333282000</v>
      </c>
      <c r="F205" s="39">
        <v>-0.3</v>
      </c>
      <c r="G205" s="40">
        <f t="shared" si="0"/>
        <v>-99984600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4.25" customHeight="1">
      <c r="A206" s="10" t="s">
        <v>539</v>
      </c>
      <c r="B206" s="10" t="s">
        <v>552</v>
      </c>
      <c r="C206" s="10" t="s">
        <v>561</v>
      </c>
      <c r="D206" s="10" t="s">
        <v>562</v>
      </c>
      <c r="E206" s="31">
        <v>184799000</v>
      </c>
      <c r="F206" s="39">
        <v>-0.3</v>
      </c>
      <c r="G206" s="40">
        <f t="shared" si="0"/>
        <v>-55439700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4.25" customHeight="1">
      <c r="A207" s="10" t="s">
        <v>539</v>
      </c>
      <c r="B207" s="10" t="s">
        <v>552</v>
      </c>
      <c r="C207" s="10" t="s">
        <v>561</v>
      </c>
      <c r="D207" s="10" t="s">
        <v>563</v>
      </c>
      <c r="E207" s="31">
        <v>147313000</v>
      </c>
      <c r="F207" s="39">
        <v>-0.3</v>
      </c>
      <c r="G207" s="40">
        <f t="shared" si="0"/>
        <v>-44193900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4.25" customHeight="1">
      <c r="A208" s="10" t="s">
        <v>539</v>
      </c>
      <c r="B208" s="10" t="s">
        <v>552</v>
      </c>
      <c r="C208" s="10" t="s">
        <v>561</v>
      </c>
      <c r="D208" s="10" t="s">
        <v>564</v>
      </c>
      <c r="E208" s="31">
        <v>344840000</v>
      </c>
      <c r="F208" s="39">
        <v>-0.3</v>
      </c>
      <c r="G208" s="40">
        <f t="shared" si="0"/>
        <v>-103452000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4.25" customHeight="1">
      <c r="A209" s="10" t="s">
        <v>539</v>
      </c>
      <c r="B209" s="10" t="s">
        <v>552</v>
      </c>
      <c r="C209" s="10" t="s">
        <v>561</v>
      </c>
      <c r="D209" s="10" t="s">
        <v>565</v>
      </c>
      <c r="E209" s="31">
        <v>202659000</v>
      </c>
      <c r="F209" s="39">
        <v>-0.3</v>
      </c>
      <c r="G209" s="40">
        <f t="shared" si="0"/>
        <v>-60797700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4.25" customHeight="1">
      <c r="A210" s="10" t="s">
        <v>539</v>
      </c>
      <c r="B210" s="10" t="s">
        <v>552</v>
      </c>
      <c r="C210" s="10" t="s">
        <v>561</v>
      </c>
      <c r="D210" s="10" t="s">
        <v>566</v>
      </c>
      <c r="E210" s="31">
        <v>275380000</v>
      </c>
      <c r="F210" s="39">
        <v>-0.3</v>
      </c>
      <c r="G210" s="40">
        <f t="shared" si="0"/>
        <v>-82614000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4.25" customHeight="1">
      <c r="A211" s="10" t="s">
        <v>539</v>
      </c>
      <c r="B211" s="10" t="s">
        <v>552</v>
      </c>
      <c r="C211" s="10" t="s">
        <v>567</v>
      </c>
      <c r="D211" s="10" t="s">
        <v>568</v>
      </c>
      <c r="E211" s="31">
        <v>94263000</v>
      </c>
      <c r="F211" s="39">
        <v>-0.3</v>
      </c>
      <c r="G211" s="40">
        <f t="shared" si="0"/>
        <v>-28278900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4.25" customHeight="1">
      <c r="A212" s="10" t="s">
        <v>539</v>
      </c>
      <c r="B212" s="10" t="s">
        <v>552</v>
      </c>
      <c r="C212" s="10" t="s">
        <v>567</v>
      </c>
      <c r="D212" s="10" t="s">
        <v>569</v>
      </c>
      <c r="E212" s="31">
        <v>346739000</v>
      </c>
      <c r="F212" s="39">
        <v>-0.3</v>
      </c>
      <c r="G212" s="40">
        <f t="shared" si="0"/>
        <v>-104021700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4.25" customHeight="1">
      <c r="A213" s="10" t="s">
        <v>570</v>
      </c>
      <c r="B213" s="10" t="s">
        <v>571</v>
      </c>
      <c r="C213" s="10" t="s">
        <v>572</v>
      </c>
      <c r="D213" s="10" t="s">
        <v>573</v>
      </c>
      <c r="E213" s="31">
        <v>1408120000</v>
      </c>
      <c r="F213" s="39">
        <v>-0.7</v>
      </c>
      <c r="G213" s="40">
        <f t="shared" si="0"/>
        <v>-985683999.99999988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4.25" customHeight="1">
      <c r="A214" s="10" t="s">
        <v>570</v>
      </c>
      <c r="B214" s="10" t="s">
        <v>571</v>
      </c>
      <c r="C214" s="10" t="s">
        <v>572</v>
      </c>
      <c r="D214" s="10" t="s">
        <v>574</v>
      </c>
      <c r="E214" s="31">
        <v>185598000</v>
      </c>
      <c r="F214" s="39">
        <v>-0.7</v>
      </c>
      <c r="G214" s="40">
        <f t="shared" si="0"/>
        <v>-129918599.99999999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4.25" customHeight="1">
      <c r="A215" s="10" t="s">
        <v>570</v>
      </c>
      <c r="B215" s="10" t="s">
        <v>571</v>
      </c>
      <c r="C215" s="10" t="s">
        <v>575</v>
      </c>
      <c r="D215" s="10" t="s">
        <v>575</v>
      </c>
      <c r="E215" s="31">
        <v>717885000</v>
      </c>
      <c r="F215" s="39">
        <v>-0.7</v>
      </c>
      <c r="G215" s="40">
        <f t="shared" si="0"/>
        <v>-502519499.99999994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4.25" customHeight="1">
      <c r="A216" s="10" t="s">
        <v>570</v>
      </c>
      <c r="B216" s="10" t="s">
        <v>571</v>
      </c>
      <c r="C216" s="10" t="s">
        <v>576</v>
      </c>
      <c r="D216" s="10" t="s">
        <v>577</v>
      </c>
      <c r="E216" s="31">
        <v>648070000</v>
      </c>
      <c r="F216" s="39">
        <v>-0.7</v>
      </c>
      <c r="G216" s="40">
        <f t="shared" si="0"/>
        <v>-453649000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4.25" customHeight="1">
      <c r="A217" s="10" t="s">
        <v>570</v>
      </c>
      <c r="B217" s="10" t="s">
        <v>571</v>
      </c>
      <c r="C217" s="10" t="s">
        <v>576</v>
      </c>
      <c r="D217" s="10" t="s">
        <v>578</v>
      </c>
      <c r="E217" s="31">
        <v>201341000</v>
      </c>
      <c r="F217" s="39">
        <v>-0.7</v>
      </c>
      <c r="G217" s="40">
        <f t="shared" si="0"/>
        <v>-140938700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4.25" customHeight="1">
      <c r="A218" s="10" t="s">
        <v>570</v>
      </c>
      <c r="B218" s="10" t="s">
        <v>571</v>
      </c>
      <c r="C218" s="10" t="s">
        <v>579</v>
      </c>
      <c r="D218" s="10" t="s">
        <v>579</v>
      </c>
      <c r="E218" s="31">
        <v>47640000</v>
      </c>
      <c r="F218" s="39">
        <v>-0.7</v>
      </c>
      <c r="G218" s="40">
        <f t="shared" si="0"/>
        <v>-33347999.999999996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4.25" customHeight="1">
      <c r="A219" s="10" t="s">
        <v>570</v>
      </c>
      <c r="B219" s="10" t="s">
        <v>580</v>
      </c>
      <c r="C219" s="10" t="s">
        <v>581</v>
      </c>
      <c r="D219" s="10" t="s">
        <v>582</v>
      </c>
      <c r="E219" s="31">
        <v>4860000</v>
      </c>
      <c r="F219" s="39">
        <v>-0.3</v>
      </c>
      <c r="G219" s="40">
        <f t="shared" si="0"/>
        <v>-1458000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4.25" customHeight="1">
      <c r="A220" s="10" t="s">
        <v>570</v>
      </c>
      <c r="B220" s="10" t="s">
        <v>580</v>
      </c>
      <c r="C220" s="10" t="s">
        <v>581</v>
      </c>
      <c r="D220" s="10" t="s">
        <v>583</v>
      </c>
      <c r="E220" s="31">
        <v>56028000</v>
      </c>
      <c r="F220" s="39">
        <v>-0.3</v>
      </c>
      <c r="G220" s="40">
        <f t="shared" si="0"/>
        <v>-16808400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4.25" customHeight="1">
      <c r="A221" s="10" t="s">
        <v>570</v>
      </c>
      <c r="B221" s="10" t="s">
        <v>580</v>
      </c>
      <c r="C221" s="10" t="s">
        <v>581</v>
      </c>
      <c r="D221" s="10" t="s">
        <v>584</v>
      </c>
      <c r="E221" s="31">
        <v>28760000</v>
      </c>
      <c r="F221" s="39">
        <v>-0.3</v>
      </c>
      <c r="G221" s="40">
        <f t="shared" si="0"/>
        <v>-8628000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4.25" customHeight="1">
      <c r="A222" s="10" t="s">
        <v>570</v>
      </c>
      <c r="B222" s="10" t="s">
        <v>580</v>
      </c>
      <c r="C222" s="10" t="s">
        <v>581</v>
      </c>
      <c r="D222" s="10" t="s">
        <v>585</v>
      </c>
      <c r="E222" s="31">
        <v>37534000</v>
      </c>
      <c r="F222" s="39">
        <v>-0.3</v>
      </c>
      <c r="G222" s="40">
        <f t="shared" si="0"/>
        <v>-11260200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4.25" customHeight="1">
      <c r="A223" s="10" t="s">
        <v>570</v>
      </c>
      <c r="B223" s="10" t="s">
        <v>580</v>
      </c>
      <c r="C223" s="10" t="s">
        <v>581</v>
      </c>
      <c r="D223" s="10" t="s">
        <v>586</v>
      </c>
      <c r="E223" s="31">
        <v>9571000</v>
      </c>
      <c r="F223" s="39">
        <v>-0.5</v>
      </c>
      <c r="G223" s="40">
        <f t="shared" si="0"/>
        <v>-4785500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4.25" customHeight="1">
      <c r="A224" s="10" t="s">
        <v>570</v>
      </c>
      <c r="B224" s="10" t="s">
        <v>580</v>
      </c>
      <c r="C224" s="10" t="s">
        <v>581</v>
      </c>
      <c r="D224" s="10" t="s">
        <v>587</v>
      </c>
      <c r="E224" s="31">
        <v>5558000</v>
      </c>
      <c r="F224" s="39">
        <v>-0.5</v>
      </c>
      <c r="G224" s="40">
        <f t="shared" si="0"/>
        <v>-2779000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4.25" customHeight="1">
      <c r="A225" s="10" t="s">
        <v>570</v>
      </c>
      <c r="B225" s="10" t="s">
        <v>580</v>
      </c>
      <c r="C225" s="10" t="s">
        <v>581</v>
      </c>
      <c r="D225" s="10" t="s">
        <v>588</v>
      </c>
      <c r="E225" s="31">
        <v>16655000</v>
      </c>
      <c r="F225" s="39">
        <v>-0.5</v>
      </c>
      <c r="G225" s="40">
        <f t="shared" si="0"/>
        <v>-8327500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4.25" customHeight="1">
      <c r="A226" s="10" t="s">
        <v>570</v>
      </c>
      <c r="B226" s="10" t="s">
        <v>580</v>
      </c>
      <c r="C226" s="10" t="s">
        <v>581</v>
      </c>
      <c r="D226" s="10" t="s">
        <v>589</v>
      </c>
      <c r="E226" s="31">
        <v>194712000</v>
      </c>
      <c r="F226" s="39">
        <v>-0.5</v>
      </c>
      <c r="G226" s="40">
        <f t="shared" si="0"/>
        <v>-97356000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4.25" customHeight="1">
      <c r="A227" s="10" t="s">
        <v>570</v>
      </c>
      <c r="B227" s="10" t="s">
        <v>580</v>
      </c>
      <c r="C227" s="10" t="s">
        <v>581</v>
      </c>
      <c r="D227" s="10" t="s">
        <v>590</v>
      </c>
      <c r="E227" s="31">
        <v>1035068000</v>
      </c>
      <c r="F227" s="39">
        <v>-0.5</v>
      </c>
      <c r="G227" s="40">
        <f t="shared" si="0"/>
        <v>-517534000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4.25" customHeight="1">
      <c r="A228" s="10" t="s">
        <v>570</v>
      </c>
      <c r="B228" s="10" t="s">
        <v>580</v>
      </c>
      <c r="C228" s="10" t="s">
        <v>591</v>
      </c>
      <c r="D228" s="10" t="s">
        <v>592</v>
      </c>
      <c r="E228" s="31">
        <v>299698000</v>
      </c>
      <c r="F228" s="39">
        <v>0</v>
      </c>
      <c r="G228" s="40">
        <f t="shared" si="0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4.25" customHeight="1">
      <c r="A229" s="10" t="s">
        <v>570</v>
      </c>
      <c r="B229" s="10" t="s">
        <v>580</v>
      </c>
      <c r="C229" s="10" t="s">
        <v>591</v>
      </c>
      <c r="D229" s="10" t="s">
        <v>593</v>
      </c>
      <c r="E229" s="31">
        <v>31923000</v>
      </c>
      <c r="F229" s="39">
        <v>0</v>
      </c>
      <c r="G229" s="40">
        <f t="shared" si="0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4.25" customHeight="1">
      <c r="A230" s="10" t="s">
        <v>570</v>
      </c>
      <c r="B230" s="10" t="s">
        <v>580</v>
      </c>
      <c r="C230" s="10" t="s">
        <v>591</v>
      </c>
      <c r="D230" s="10" t="s">
        <v>594</v>
      </c>
      <c r="E230" s="31">
        <v>9048000</v>
      </c>
      <c r="F230" s="39">
        <v>0</v>
      </c>
      <c r="G230" s="40">
        <f t="shared" si="0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4.25" customHeight="1">
      <c r="A231" s="10" t="s">
        <v>570</v>
      </c>
      <c r="B231" s="10" t="s">
        <v>580</v>
      </c>
      <c r="C231" s="10" t="s">
        <v>591</v>
      </c>
      <c r="D231" s="10" t="s">
        <v>595</v>
      </c>
      <c r="E231" s="31">
        <v>15096000</v>
      </c>
      <c r="F231" s="39">
        <v>0</v>
      </c>
      <c r="G231" s="40">
        <f t="shared" si="0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4.25" customHeight="1">
      <c r="A232" s="10" t="s">
        <v>570</v>
      </c>
      <c r="B232" s="10" t="s">
        <v>580</v>
      </c>
      <c r="C232" s="10" t="s">
        <v>596</v>
      </c>
      <c r="D232" s="10" t="s">
        <v>597</v>
      </c>
      <c r="E232" s="31">
        <v>120231000</v>
      </c>
      <c r="F232" s="39">
        <v>0</v>
      </c>
      <c r="G232" s="40">
        <f t="shared" si="0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4.25" customHeight="1">
      <c r="A233" s="10" t="s">
        <v>570</v>
      </c>
      <c r="B233" s="10" t="s">
        <v>580</v>
      </c>
      <c r="C233" s="10" t="s">
        <v>596</v>
      </c>
      <c r="D233" s="10" t="s">
        <v>598</v>
      </c>
      <c r="E233" s="31">
        <v>57520000</v>
      </c>
      <c r="F233" s="39">
        <v>0</v>
      </c>
      <c r="G233" s="40">
        <f t="shared" si="0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4.25" customHeight="1">
      <c r="A234" s="10" t="s">
        <v>570</v>
      </c>
      <c r="B234" s="10" t="s">
        <v>580</v>
      </c>
      <c r="C234" s="10" t="s">
        <v>596</v>
      </c>
      <c r="D234" s="10" t="s">
        <v>599</v>
      </c>
      <c r="E234" s="31">
        <v>60597000</v>
      </c>
      <c r="F234" s="39">
        <v>0</v>
      </c>
      <c r="G234" s="40">
        <f t="shared" si="0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4.25" customHeight="1">
      <c r="A235" s="10" t="s">
        <v>570</v>
      </c>
      <c r="B235" s="10" t="s">
        <v>580</v>
      </c>
      <c r="C235" s="10" t="s">
        <v>596</v>
      </c>
      <c r="D235" s="10" t="s">
        <v>600</v>
      </c>
      <c r="E235" s="31">
        <v>476713000</v>
      </c>
      <c r="F235" s="39">
        <v>0</v>
      </c>
      <c r="G235" s="40">
        <f t="shared" si="0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4.25" customHeight="1">
      <c r="A236" s="10" t="s">
        <v>570</v>
      </c>
      <c r="B236" s="10" t="s">
        <v>580</v>
      </c>
      <c r="C236" s="10" t="s">
        <v>596</v>
      </c>
      <c r="D236" s="10" t="s">
        <v>601</v>
      </c>
      <c r="E236" s="31">
        <v>375297000</v>
      </c>
      <c r="F236" s="39">
        <v>0</v>
      </c>
      <c r="G236" s="40">
        <f t="shared" si="0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4.25" customHeight="1">
      <c r="A237" s="10" t="s">
        <v>570</v>
      </c>
      <c r="B237" s="10" t="s">
        <v>580</v>
      </c>
      <c r="C237" s="10" t="s">
        <v>596</v>
      </c>
      <c r="D237" s="10" t="s">
        <v>602</v>
      </c>
      <c r="E237" s="31">
        <v>190815000</v>
      </c>
      <c r="F237" s="39">
        <v>0</v>
      </c>
      <c r="G237" s="40">
        <f t="shared" si="0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4.25" customHeight="1">
      <c r="A238" s="10" t="s">
        <v>570</v>
      </c>
      <c r="B238" s="10" t="s">
        <v>580</v>
      </c>
      <c r="C238" s="10" t="s">
        <v>596</v>
      </c>
      <c r="D238" s="10" t="s">
        <v>603</v>
      </c>
      <c r="E238" s="31">
        <v>116758000</v>
      </c>
      <c r="F238" s="39">
        <v>0</v>
      </c>
      <c r="G238" s="40">
        <f t="shared" si="0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4.25" customHeight="1">
      <c r="A239" s="10" t="s">
        <v>570</v>
      </c>
      <c r="B239" s="10" t="s">
        <v>580</v>
      </c>
      <c r="C239" s="10" t="s">
        <v>596</v>
      </c>
      <c r="D239" s="10" t="s">
        <v>604</v>
      </c>
      <c r="E239" s="31">
        <v>170312000</v>
      </c>
      <c r="F239" s="39">
        <v>0</v>
      </c>
      <c r="G239" s="40">
        <f t="shared" si="0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4.25" customHeight="1">
      <c r="A240" s="10" t="s">
        <v>570</v>
      </c>
      <c r="B240" s="10" t="s">
        <v>580</v>
      </c>
      <c r="C240" s="10" t="s">
        <v>596</v>
      </c>
      <c r="D240" s="10" t="s">
        <v>605</v>
      </c>
      <c r="E240" s="31">
        <v>237936000</v>
      </c>
      <c r="F240" s="39">
        <v>0</v>
      </c>
      <c r="G240" s="40">
        <f t="shared" si="0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62" ht="14.25" customHeight="1">
      <c r="A241" s="10" t="s">
        <v>570</v>
      </c>
      <c r="B241" s="10" t="s">
        <v>580</v>
      </c>
      <c r="C241" s="10" t="s">
        <v>606</v>
      </c>
      <c r="D241" s="10" t="s">
        <v>607</v>
      </c>
      <c r="E241" s="31">
        <v>74653000</v>
      </c>
      <c r="F241" s="39">
        <v>-0.5</v>
      </c>
      <c r="G241" s="40">
        <f t="shared" si="0"/>
        <v>-37326500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</row>
    <row r="242" spans="1:62" ht="14.25" customHeight="1">
      <c r="A242" s="10" t="s">
        <v>570</v>
      </c>
      <c r="B242" s="10" t="s">
        <v>580</v>
      </c>
      <c r="C242" s="10" t="s">
        <v>606</v>
      </c>
      <c r="D242" s="10" t="s">
        <v>608</v>
      </c>
      <c r="E242" s="31">
        <v>269692000</v>
      </c>
      <c r="F242" s="39">
        <v>-0.5</v>
      </c>
      <c r="G242" s="40">
        <f t="shared" si="0"/>
        <v>-134846000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</row>
    <row r="243" spans="1:62" ht="14.25" customHeight="1">
      <c r="A243" s="10" t="s">
        <v>570</v>
      </c>
      <c r="B243" s="10" t="s">
        <v>580</v>
      </c>
      <c r="C243" s="10" t="s">
        <v>606</v>
      </c>
      <c r="D243" s="10" t="s">
        <v>609</v>
      </c>
      <c r="E243" s="31">
        <v>460270000</v>
      </c>
      <c r="F243" s="39">
        <v>-0.5</v>
      </c>
      <c r="G243" s="40">
        <f t="shared" si="0"/>
        <v>-230135000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</row>
    <row r="244" spans="1:62" ht="14.25" customHeight="1">
      <c r="A244" s="10" t="s">
        <v>570</v>
      </c>
      <c r="B244" s="10" t="s">
        <v>580</v>
      </c>
      <c r="C244" s="10" t="s">
        <v>606</v>
      </c>
      <c r="D244" s="10" t="s">
        <v>610</v>
      </c>
      <c r="E244" s="31">
        <v>55034000</v>
      </c>
      <c r="F244" s="39">
        <v>-0.5</v>
      </c>
      <c r="G244" s="40">
        <f t="shared" si="0"/>
        <v>-27517000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ht="14.25" customHeight="1">
      <c r="A245" s="10" t="s">
        <v>570</v>
      </c>
      <c r="B245" s="10" t="s">
        <v>580</v>
      </c>
      <c r="C245" s="10" t="s">
        <v>606</v>
      </c>
      <c r="D245" s="10" t="s">
        <v>611</v>
      </c>
      <c r="E245" s="31">
        <v>200771000</v>
      </c>
      <c r="F245" s="39">
        <v>-0.5</v>
      </c>
      <c r="G245" s="40">
        <f t="shared" si="0"/>
        <v>-100385500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</row>
    <row r="246" spans="1:62" ht="14.25" customHeight="1">
      <c r="A246" s="10" t="s">
        <v>570</v>
      </c>
      <c r="B246" s="10" t="s">
        <v>580</v>
      </c>
      <c r="C246" s="10" t="s">
        <v>606</v>
      </c>
      <c r="D246" s="10" t="s">
        <v>612</v>
      </c>
      <c r="E246" s="31">
        <v>2036856000</v>
      </c>
      <c r="F246" s="39">
        <v>0</v>
      </c>
      <c r="G246" s="40">
        <f t="shared" si="0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</row>
    <row r="247" spans="1:62" ht="14.25" customHeight="1">
      <c r="A247" s="10" t="s">
        <v>570</v>
      </c>
      <c r="B247" s="10" t="s">
        <v>580</v>
      </c>
      <c r="C247" s="10" t="s">
        <v>606</v>
      </c>
      <c r="D247" s="10" t="s">
        <v>613</v>
      </c>
      <c r="E247" s="31">
        <v>190627000</v>
      </c>
      <c r="F247" s="39">
        <v>-0.5</v>
      </c>
      <c r="G247" s="40">
        <f t="shared" si="0"/>
        <v>-95313500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</row>
    <row r="248" spans="1:62" ht="14.25" customHeight="1">
      <c r="A248" s="10" t="s">
        <v>570</v>
      </c>
      <c r="B248" s="10" t="s">
        <v>580</v>
      </c>
      <c r="C248" s="10" t="s">
        <v>606</v>
      </c>
      <c r="D248" s="10" t="s">
        <v>614</v>
      </c>
      <c r="E248" s="31">
        <v>19807000</v>
      </c>
      <c r="F248" s="39">
        <v>-0.5</v>
      </c>
      <c r="G248" s="40">
        <f t="shared" si="0"/>
        <v>-9903500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</row>
    <row r="249" spans="1:62" ht="14.25" customHeight="1">
      <c r="A249" s="10" t="s">
        <v>570</v>
      </c>
      <c r="B249" s="10" t="s">
        <v>580</v>
      </c>
      <c r="C249" s="10" t="s">
        <v>606</v>
      </c>
      <c r="D249" s="10" t="s">
        <v>615</v>
      </c>
      <c r="E249" s="31">
        <v>422557000</v>
      </c>
      <c r="F249" s="39">
        <v>-0.5</v>
      </c>
      <c r="G249" s="40">
        <f t="shared" si="0"/>
        <v>-211278500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ht="14.25" customHeight="1">
      <c r="A250" s="10" t="s">
        <v>570</v>
      </c>
      <c r="B250" s="10" t="s">
        <v>580</v>
      </c>
      <c r="C250" s="10" t="s">
        <v>618</v>
      </c>
      <c r="D250" s="10" t="s">
        <v>619</v>
      </c>
      <c r="E250" s="31">
        <v>648999000</v>
      </c>
      <c r="F250" s="39">
        <v>-0.5</v>
      </c>
      <c r="G250" s="40">
        <f t="shared" si="0"/>
        <v>-324499500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</row>
    <row r="251" spans="1:62" ht="14.25" customHeight="1">
      <c r="A251" s="10" t="s">
        <v>570</v>
      </c>
      <c r="B251" s="10" t="s">
        <v>580</v>
      </c>
      <c r="C251" s="10" t="s">
        <v>618</v>
      </c>
      <c r="D251" s="10" t="s">
        <v>620</v>
      </c>
      <c r="E251" s="31">
        <v>242191000</v>
      </c>
      <c r="F251" s="39">
        <v>-0.5</v>
      </c>
      <c r="G251" s="40">
        <f t="shared" si="0"/>
        <v>-121095500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</row>
    <row r="252" spans="1:62" ht="14.25" customHeight="1">
      <c r="A252" s="10" t="s">
        <v>570</v>
      </c>
      <c r="B252" s="10" t="s">
        <v>580</v>
      </c>
      <c r="C252" s="10" t="s">
        <v>621</v>
      </c>
      <c r="D252" s="10" t="s">
        <v>622</v>
      </c>
      <c r="E252" s="31">
        <v>186673000</v>
      </c>
      <c r="F252" s="39">
        <v>-0.5</v>
      </c>
      <c r="G252" s="40">
        <f t="shared" si="0"/>
        <v>-93336500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</row>
    <row r="253" spans="1:62" ht="14.25" customHeight="1">
      <c r="A253" s="10" t="s">
        <v>570</v>
      </c>
      <c r="B253" s="10" t="s">
        <v>580</v>
      </c>
      <c r="C253" s="10" t="s">
        <v>621</v>
      </c>
      <c r="D253" s="10" t="s">
        <v>623</v>
      </c>
      <c r="E253" s="31">
        <v>60110000</v>
      </c>
      <c r="F253" s="39">
        <v>-0.5</v>
      </c>
      <c r="G253" s="40">
        <f t="shared" si="0"/>
        <v>-30055000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</row>
    <row r="254" spans="1:62" ht="14.25" customHeight="1">
      <c r="A254" s="10" t="s">
        <v>570</v>
      </c>
      <c r="B254" s="10" t="s">
        <v>580</v>
      </c>
      <c r="C254" s="10" t="s">
        <v>621</v>
      </c>
      <c r="D254" s="10" t="s">
        <v>624</v>
      </c>
      <c r="E254" s="31">
        <v>136710000</v>
      </c>
      <c r="F254" s="39">
        <v>-0.5</v>
      </c>
      <c r="G254" s="40">
        <f t="shared" si="0"/>
        <v>-68355000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ht="14.25" customHeight="1">
      <c r="A255" s="10" t="s">
        <v>570</v>
      </c>
      <c r="B255" s="10" t="s">
        <v>580</v>
      </c>
      <c r="C255" s="10" t="s">
        <v>621</v>
      </c>
      <c r="D255" s="10" t="s">
        <v>625</v>
      </c>
      <c r="E255" s="31">
        <v>2627000</v>
      </c>
      <c r="F255" s="39">
        <v>-0.5</v>
      </c>
      <c r="G255" s="40">
        <f t="shared" si="0"/>
        <v>-1313500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</row>
    <row r="256" spans="1:62" ht="14.25" customHeight="1">
      <c r="A256" s="10" t="s">
        <v>570</v>
      </c>
      <c r="B256" s="10" t="s">
        <v>580</v>
      </c>
      <c r="C256" s="10" t="s">
        <v>621</v>
      </c>
      <c r="D256" s="10" t="s">
        <v>626</v>
      </c>
      <c r="E256" s="31">
        <v>11554000</v>
      </c>
      <c r="F256" s="39">
        <v>-0.5</v>
      </c>
      <c r="G256" s="40">
        <f t="shared" si="0"/>
        <v>-5777000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</row>
    <row r="257" spans="1:62" ht="14.25" customHeight="1">
      <c r="A257" s="10" t="s">
        <v>570</v>
      </c>
      <c r="B257" s="10" t="s">
        <v>580</v>
      </c>
      <c r="C257" s="10" t="s">
        <v>621</v>
      </c>
      <c r="D257" s="10" t="s">
        <v>627</v>
      </c>
      <c r="E257" s="31">
        <v>62226000</v>
      </c>
      <c r="F257" s="39">
        <v>-0.5</v>
      </c>
      <c r="G257" s="40">
        <f t="shared" si="0"/>
        <v>-31113000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</row>
    <row r="258" spans="1:62" ht="14.25" customHeight="1">
      <c r="A258" s="10" t="s">
        <v>570</v>
      </c>
      <c r="B258" s="10" t="s">
        <v>580</v>
      </c>
      <c r="C258" s="10" t="s">
        <v>621</v>
      </c>
      <c r="D258" s="10" t="s">
        <v>628</v>
      </c>
      <c r="E258" s="31">
        <v>891626000</v>
      </c>
      <c r="F258" s="39">
        <v>-0.5</v>
      </c>
      <c r="G258" s="40">
        <f t="shared" si="0"/>
        <v>-445813000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</row>
    <row r="259" spans="1:62" ht="14.25" customHeight="1">
      <c r="A259" s="10" t="s">
        <v>570</v>
      </c>
      <c r="B259" s="10" t="s">
        <v>580</v>
      </c>
      <c r="C259" s="10" t="s">
        <v>629</v>
      </c>
      <c r="D259" s="10" t="s">
        <v>630</v>
      </c>
      <c r="E259" s="31">
        <v>514561000</v>
      </c>
      <c r="F259" s="39">
        <v>-0.5</v>
      </c>
      <c r="G259" s="40">
        <f t="shared" si="0"/>
        <v>-257280500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ht="14.25" customHeight="1">
      <c r="A260" s="10" t="s">
        <v>570</v>
      </c>
      <c r="B260" s="10" t="s">
        <v>580</v>
      </c>
      <c r="C260" s="10" t="s">
        <v>629</v>
      </c>
      <c r="D260" s="10" t="s">
        <v>631</v>
      </c>
      <c r="E260" s="31">
        <v>212566000</v>
      </c>
      <c r="F260" s="39">
        <v>-0.5</v>
      </c>
      <c r="G260" s="40">
        <f t="shared" si="0"/>
        <v>-106283000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</row>
    <row r="261" spans="1:62" ht="14.25" customHeight="1">
      <c r="A261" s="10" t="s">
        <v>570</v>
      </c>
      <c r="B261" s="10" t="s">
        <v>580</v>
      </c>
      <c r="C261" s="10" t="s">
        <v>629</v>
      </c>
      <c r="D261" s="10" t="s">
        <v>632</v>
      </c>
      <c r="E261" s="31">
        <v>1109139000</v>
      </c>
      <c r="F261" s="39">
        <v>-0.5</v>
      </c>
      <c r="G261" s="40">
        <f t="shared" si="0"/>
        <v>-554569500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</row>
    <row r="262" spans="1:62" ht="14.25" customHeight="1">
      <c r="A262" s="10" t="s">
        <v>570</v>
      </c>
      <c r="B262" s="10" t="s">
        <v>580</v>
      </c>
      <c r="C262" s="10" t="s">
        <v>629</v>
      </c>
      <c r="D262" s="10" t="s">
        <v>633</v>
      </c>
      <c r="E262" s="31">
        <v>861064000</v>
      </c>
      <c r="F262" s="39">
        <v>-0.5</v>
      </c>
      <c r="G262" s="40">
        <f t="shared" si="0"/>
        <v>-430532000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</row>
    <row r="263" spans="1:62" ht="14.25" customHeight="1">
      <c r="A263" s="10" t="s">
        <v>570</v>
      </c>
      <c r="B263" s="10" t="s">
        <v>580</v>
      </c>
      <c r="C263" s="10" t="s">
        <v>629</v>
      </c>
      <c r="D263" s="10" t="s">
        <v>634</v>
      </c>
      <c r="E263" s="31">
        <v>273120000</v>
      </c>
      <c r="F263" s="39">
        <v>-0.5</v>
      </c>
      <c r="G263" s="40">
        <f t="shared" si="0"/>
        <v>-136560000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</row>
    <row r="264" spans="1:62" ht="14.25" customHeight="1">
      <c r="A264" s="10" t="s">
        <v>570</v>
      </c>
      <c r="B264" s="10" t="s">
        <v>580</v>
      </c>
      <c r="C264" s="10" t="s">
        <v>629</v>
      </c>
      <c r="D264" s="10" t="s">
        <v>635</v>
      </c>
      <c r="E264" s="31">
        <v>65989000</v>
      </c>
      <c r="F264" s="39">
        <v>-0.5</v>
      </c>
      <c r="G264" s="40">
        <f t="shared" si="0"/>
        <v>-32994500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</row>
    <row r="265" spans="1:62" ht="14.25" customHeight="1">
      <c r="A265" s="10" t="s">
        <v>570</v>
      </c>
      <c r="B265" s="10" t="s">
        <v>580</v>
      </c>
      <c r="C265" s="10" t="s">
        <v>629</v>
      </c>
      <c r="D265" s="10" t="s">
        <v>636</v>
      </c>
      <c r="E265" s="31">
        <v>103390000</v>
      </c>
      <c r="F265" s="39">
        <v>-0.5</v>
      </c>
      <c r="G265" s="40">
        <f t="shared" si="0"/>
        <v>-51695000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</row>
    <row r="266" spans="1:62" ht="14.25" customHeight="1">
      <c r="A266" s="10" t="s">
        <v>570</v>
      </c>
      <c r="B266" s="10" t="s">
        <v>580</v>
      </c>
      <c r="C266" s="10" t="s">
        <v>637</v>
      </c>
      <c r="D266" s="10" t="s">
        <v>637</v>
      </c>
      <c r="E266" s="31">
        <v>3310746000</v>
      </c>
      <c r="F266" s="39">
        <v>-0.5</v>
      </c>
      <c r="G266" s="40">
        <f t="shared" si="0"/>
        <v>-1655373000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</row>
    <row r="267" spans="1:62" ht="14.25" customHeight="1">
      <c r="A267" s="10" t="s">
        <v>570</v>
      </c>
      <c r="B267" s="10" t="s">
        <v>638</v>
      </c>
      <c r="C267" s="10" t="s">
        <v>639</v>
      </c>
      <c r="D267" s="10" t="s">
        <v>640</v>
      </c>
      <c r="E267" s="31">
        <v>6577092000</v>
      </c>
      <c r="F267" s="39">
        <v>0</v>
      </c>
      <c r="G267" s="40">
        <f t="shared" si="0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</row>
    <row r="268" spans="1:62" ht="14.25" customHeight="1">
      <c r="A268" s="10" t="s">
        <v>570</v>
      </c>
      <c r="B268" s="10" t="s">
        <v>638</v>
      </c>
      <c r="C268" s="10" t="s">
        <v>639</v>
      </c>
      <c r="D268" s="10" t="s">
        <v>641</v>
      </c>
      <c r="E268" s="31">
        <v>1550076000</v>
      </c>
      <c r="F268" s="39">
        <v>0</v>
      </c>
      <c r="G268" s="40">
        <f t="shared" si="0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</row>
    <row r="269" spans="1:62" ht="14.25" customHeight="1">
      <c r="A269" s="10" t="s">
        <v>570</v>
      </c>
      <c r="B269" s="10" t="s">
        <v>638</v>
      </c>
      <c r="C269" s="10" t="s">
        <v>642</v>
      </c>
      <c r="D269" s="10" t="s">
        <v>643</v>
      </c>
      <c r="E269" s="31">
        <v>13109000</v>
      </c>
      <c r="F269" s="39">
        <v>0</v>
      </c>
      <c r="G269" s="40">
        <f t="shared" si="0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ht="14.25" customHeight="1">
      <c r="A270" s="10" t="s">
        <v>570</v>
      </c>
      <c r="B270" s="10" t="s">
        <v>638</v>
      </c>
      <c r="C270" s="10" t="s">
        <v>642</v>
      </c>
      <c r="D270" s="10" t="s">
        <v>644</v>
      </c>
      <c r="E270" s="31">
        <v>89340000</v>
      </c>
      <c r="F270" s="39">
        <v>0</v>
      </c>
      <c r="G270" s="40">
        <f t="shared" si="0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</row>
    <row r="271" spans="1:62" ht="14.25" customHeight="1">
      <c r="A271" s="10" t="s">
        <v>570</v>
      </c>
      <c r="B271" s="10" t="s">
        <v>638</v>
      </c>
      <c r="C271" s="10" t="s">
        <v>642</v>
      </c>
      <c r="D271" s="10" t="s">
        <v>645</v>
      </c>
      <c r="E271" s="31">
        <v>21175000</v>
      </c>
      <c r="F271" s="39">
        <v>0</v>
      </c>
      <c r="G271" s="40">
        <f t="shared" si="0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</row>
    <row r="272" spans="1:62" ht="14.25" customHeight="1">
      <c r="A272" s="10" t="s">
        <v>570</v>
      </c>
      <c r="B272" s="10" t="s">
        <v>638</v>
      </c>
      <c r="C272" s="10" t="s">
        <v>642</v>
      </c>
      <c r="D272" s="10" t="s">
        <v>646</v>
      </c>
      <c r="E272" s="31">
        <v>82942000</v>
      </c>
      <c r="F272" s="39">
        <v>0</v>
      </c>
      <c r="G272" s="40">
        <f t="shared" si="0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</row>
    <row r="273" spans="1:62" ht="14.25" customHeight="1">
      <c r="A273" s="10" t="s">
        <v>570</v>
      </c>
      <c r="B273" s="10" t="s">
        <v>638</v>
      </c>
      <c r="C273" s="10" t="s">
        <v>642</v>
      </c>
      <c r="D273" s="10" t="s">
        <v>647</v>
      </c>
      <c r="E273" s="31">
        <v>41379000</v>
      </c>
      <c r="F273" s="39">
        <v>0</v>
      </c>
      <c r="G273" s="40">
        <f t="shared" si="0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</row>
    <row r="274" spans="1:62" ht="14.25" customHeight="1">
      <c r="A274" s="10" t="s">
        <v>570</v>
      </c>
      <c r="B274" s="10" t="s">
        <v>638</v>
      </c>
      <c r="C274" s="10" t="s">
        <v>642</v>
      </c>
      <c r="D274" s="10" t="s">
        <v>648</v>
      </c>
      <c r="E274" s="31">
        <v>332895000</v>
      </c>
      <c r="F274" s="39">
        <v>0</v>
      </c>
      <c r="G274" s="40">
        <f t="shared" si="0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ht="14.25" customHeight="1">
      <c r="A275" s="10" t="s">
        <v>570</v>
      </c>
      <c r="B275" s="10" t="s">
        <v>638</v>
      </c>
      <c r="C275" s="10" t="s">
        <v>642</v>
      </c>
      <c r="D275" s="10" t="s">
        <v>649</v>
      </c>
      <c r="E275" s="31">
        <v>51110000</v>
      </c>
      <c r="F275" s="39">
        <v>0</v>
      </c>
      <c r="G275" s="40">
        <f t="shared" si="0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</row>
    <row r="276" spans="1:62" ht="14.25" customHeight="1">
      <c r="A276" s="10" t="s">
        <v>570</v>
      </c>
      <c r="B276" s="10" t="s">
        <v>638</v>
      </c>
      <c r="C276" s="10" t="s">
        <v>650</v>
      </c>
      <c r="D276" s="10" t="s">
        <v>650</v>
      </c>
      <c r="E276" s="31">
        <v>753438000</v>
      </c>
      <c r="F276" s="39">
        <v>-0.5</v>
      </c>
      <c r="G276" s="40">
        <f t="shared" si="0"/>
        <v>-376719000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</row>
    <row r="277" spans="1:62" ht="14.25" customHeight="1">
      <c r="A277" s="10" t="s">
        <v>570</v>
      </c>
      <c r="B277" s="10" t="s">
        <v>638</v>
      </c>
      <c r="C277" s="10" t="s">
        <v>651</v>
      </c>
      <c r="D277" s="10" t="s">
        <v>652</v>
      </c>
      <c r="E277" s="31">
        <v>68320000</v>
      </c>
      <c r="F277" s="39">
        <v>-0.5</v>
      </c>
      <c r="G277" s="40">
        <f t="shared" si="0"/>
        <v>-34160000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</row>
    <row r="278" spans="1:62" ht="14.25" customHeight="1">
      <c r="A278" s="10" t="s">
        <v>570</v>
      </c>
      <c r="B278" s="10" t="s">
        <v>638</v>
      </c>
      <c r="C278" s="10" t="s">
        <v>651</v>
      </c>
      <c r="D278" s="10" t="s">
        <v>653</v>
      </c>
      <c r="E278" s="31">
        <v>67206000</v>
      </c>
      <c r="F278" s="39">
        <v>-0.5</v>
      </c>
      <c r="G278" s="40">
        <f t="shared" si="0"/>
        <v>-33603000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</row>
    <row r="279" spans="1:62" ht="14.25" customHeight="1">
      <c r="A279" s="10" t="s">
        <v>570</v>
      </c>
      <c r="B279" s="10" t="s">
        <v>638</v>
      </c>
      <c r="C279" s="10" t="s">
        <v>651</v>
      </c>
      <c r="D279" s="10" t="s">
        <v>654</v>
      </c>
      <c r="E279" s="31">
        <v>14134000</v>
      </c>
      <c r="F279" s="39">
        <v>-0.5</v>
      </c>
      <c r="G279" s="40">
        <f t="shared" si="0"/>
        <v>-7067000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ht="14.25" customHeight="1">
      <c r="A280" s="10" t="s">
        <v>570</v>
      </c>
      <c r="B280" s="10" t="s">
        <v>638</v>
      </c>
      <c r="C280" s="10" t="s">
        <v>655</v>
      </c>
      <c r="D280" s="10" t="s">
        <v>656</v>
      </c>
      <c r="E280" s="31">
        <v>92610000</v>
      </c>
      <c r="F280" s="39">
        <v>-0.5</v>
      </c>
      <c r="G280" s="40">
        <f t="shared" si="0"/>
        <v>-46305000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</row>
    <row r="281" spans="1:62" ht="14.25" customHeight="1">
      <c r="A281" s="10" t="s">
        <v>570</v>
      </c>
      <c r="B281" s="10" t="s">
        <v>638</v>
      </c>
      <c r="C281" s="10" t="s">
        <v>655</v>
      </c>
      <c r="D281" s="10" t="s">
        <v>657</v>
      </c>
      <c r="E281" s="31">
        <v>714470000</v>
      </c>
      <c r="F281" s="39">
        <v>-0.5</v>
      </c>
      <c r="G281" s="40">
        <f t="shared" si="0"/>
        <v>-357235000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</row>
    <row r="282" spans="1:62" ht="14.25" customHeight="1">
      <c r="A282" s="10" t="s">
        <v>570</v>
      </c>
      <c r="B282" s="10" t="s">
        <v>638</v>
      </c>
      <c r="C282" s="10" t="s">
        <v>655</v>
      </c>
      <c r="D282" s="10" t="s">
        <v>658</v>
      </c>
      <c r="E282" s="31">
        <v>73371000</v>
      </c>
      <c r="F282" s="39">
        <v>-0.5</v>
      </c>
      <c r="G282" s="40">
        <f t="shared" si="0"/>
        <v>-36685500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</row>
    <row r="283" spans="1:62" ht="14.25" customHeight="1">
      <c r="A283" s="10" t="s">
        <v>570</v>
      </c>
      <c r="B283" s="10" t="s">
        <v>638</v>
      </c>
      <c r="C283" s="10" t="s">
        <v>655</v>
      </c>
      <c r="D283" s="10" t="s">
        <v>659</v>
      </c>
      <c r="E283" s="31">
        <v>181091000</v>
      </c>
      <c r="F283" s="39">
        <v>-0.5</v>
      </c>
      <c r="G283" s="40">
        <f t="shared" si="0"/>
        <v>-90545500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</row>
    <row r="284" spans="1:62" ht="14.25" customHeight="1">
      <c r="A284" s="10" t="s">
        <v>570</v>
      </c>
      <c r="B284" s="10" t="s">
        <v>638</v>
      </c>
      <c r="C284" s="10" t="s">
        <v>655</v>
      </c>
      <c r="D284" s="10" t="s">
        <v>660</v>
      </c>
      <c r="E284" s="31">
        <v>781353000</v>
      </c>
      <c r="F284" s="39">
        <v>-0.5</v>
      </c>
      <c r="G284" s="40">
        <f t="shared" si="0"/>
        <v>-390676500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ht="14.25" customHeight="1">
      <c r="A285" s="10" t="s">
        <v>570</v>
      </c>
      <c r="B285" s="10" t="s">
        <v>638</v>
      </c>
      <c r="C285" s="10" t="s">
        <v>661</v>
      </c>
      <c r="D285" s="10" t="s">
        <v>662</v>
      </c>
      <c r="E285" s="31">
        <v>29581000</v>
      </c>
      <c r="F285" s="39">
        <v>-0.5</v>
      </c>
      <c r="G285" s="40">
        <f t="shared" si="0"/>
        <v>-14790500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</row>
    <row r="286" spans="1:62" ht="14.25" customHeight="1">
      <c r="A286" s="10" t="s">
        <v>570</v>
      </c>
      <c r="B286" s="10" t="s">
        <v>638</v>
      </c>
      <c r="C286" s="10" t="s">
        <v>661</v>
      </c>
      <c r="D286" s="10" t="s">
        <v>663</v>
      </c>
      <c r="E286" s="31">
        <v>13512000</v>
      </c>
      <c r="F286" s="39">
        <v>-0.5</v>
      </c>
      <c r="G286" s="40">
        <f t="shared" si="0"/>
        <v>-6756000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</row>
    <row r="287" spans="1:62" ht="14.25" customHeight="1">
      <c r="A287" s="10" t="s">
        <v>570</v>
      </c>
      <c r="B287" s="10" t="s">
        <v>638</v>
      </c>
      <c r="C287" s="10" t="s">
        <v>664</v>
      </c>
      <c r="D287" s="10" t="s">
        <v>665</v>
      </c>
      <c r="E287" s="31">
        <v>1582514000</v>
      </c>
      <c r="F287" s="39">
        <v>-0.5</v>
      </c>
      <c r="G287" s="40">
        <f t="shared" si="0"/>
        <v>-791257000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</row>
    <row r="288" spans="1:62" ht="14.25" customHeight="1">
      <c r="A288" s="10" t="s">
        <v>570</v>
      </c>
      <c r="B288" s="10" t="s">
        <v>638</v>
      </c>
      <c r="C288" s="10" t="s">
        <v>664</v>
      </c>
      <c r="D288" s="10" t="s">
        <v>666</v>
      </c>
      <c r="E288" s="31">
        <v>1186090000</v>
      </c>
      <c r="F288" s="39">
        <v>0</v>
      </c>
      <c r="G288" s="40">
        <f t="shared" si="0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</row>
    <row r="289" spans="1:62" ht="14.25" customHeight="1">
      <c r="A289" s="10" t="s">
        <v>570</v>
      </c>
      <c r="B289" s="10" t="s">
        <v>638</v>
      </c>
      <c r="C289" s="10" t="s">
        <v>664</v>
      </c>
      <c r="D289" s="10" t="s">
        <v>667</v>
      </c>
      <c r="E289" s="31">
        <v>127963000</v>
      </c>
      <c r="F289" s="39">
        <v>0</v>
      </c>
      <c r="G289" s="40">
        <f t="shared" si="0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</row>
    <row r="290" spans="1:62" ht="14.25" customHeight="1">
      <c r="A290" s="10" t="s">
        <v>570</v>
      </c>
      <c r="B290" s="10" t="s">
        <v>638</v>
      </c>
      <c r="C290" s="10" t="s">
        <v>664</v>
      </c>
      <c r="D290" s="10" t="s">
        <v>668</v>
      </c>
      <c r="E290" s="31">
        <v>181487000</v>
      </c>
      <c r="F290" s="39">
        <v>-0.5</v>
      </c>
      <c r="G290" s="40">
        <f t="shared" si="0"/>
        <v>-90743500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</row>
    <row r="291" spans="1:62" ht="14.25" customHeight="1">
      <c r="A291" s="10" t="s">
        <v>570</v>
      </c>
      <c r="B291" s="10" t="s">
        <v>638</v>
      </c>
      <c r="C291" s="10" t="s">
        <v>664</v>
      </c>
      <c r="D291" s="10" t="s">
        <v>669</v>
      </c>
      <c r="E291" s="31">
        <v>128264000</v>
      </c>
      <c r="F291" s="39">
        <v>-0.5</v>
      </c>
      <c r="G291" s="40">
        <f t="shared" si="0"/>
        <v>-64132000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</row>
    <row r="292" spans="1:62" ht="14.25" customHeight="1">
      <c r="A292" s="10" t="s">
        <v>570</v>
      </c>
      <c r="B292" s="10" t="s">
        <v>638</v>
      </c>
      <c r="C292" s="10" t="s">
        <v>664</v>
      </c>
      <c r="D292" s="10" t="s">
        <v>670</v>
      </c>
      <c r="E292" s="31">
        <v>448436000</v>
      </c>
      <c r="F292" s="39">
        <v>-0.5</v>
      </c>
      <c r="G292" s="40">
        <f t="shared" si="0"/>
        <v>-224218000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</row>
    <row r="293" spans="1:62" ht="14.25" customHeight="1">
      <c r="A293" s="10" t="s">
        <v>570</v>
      </c>
      <c r="B293" s="10" t="s">
        <v>638</v>
      </c>
      <c r="C293" s="10" t="s">
        <v>664</v>
      </c>
      <c r="D293" s="10" t="s">
        <v>671</v>
      </c>
      <c r="E293" s="31">
        <v>41404000</v>
      </c>
      <c r="F293" s="39">
        <v>-0.5</v>
      </c>
      <c r="G293" s="40">
        <f t="shared" si="0"/>
        <v>-20702000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</row>
    <row r="294" spans="1:62" ht="14.25" customHeight="1">
      <c r="A294" s="10" t="s">
        <v>570</v>
      </c>
      <c r="B294" s="10" t="s">
        <v>638</v>
      </c>
      <c r="C294" s="10" t="s">
        <v>672</v>
      </c>
      <c r="D294" s="10" t="s">
        <v>673</v>
      </c>
      <c r="E294" s="31">
        <v>42768000</v>
      </c>
      <c r="F294" s="39">
        <v>-0.5</v>
      </c>
      <c r="G294" s="40">
        <f t="shared" si="0"/>
        <v>-21384000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</row>
    <row r="295" spans="1:62" ht="14.25" customHeight="1">
      <c r="A295" s="10" t="s">
        <v>570</v>
      </c>
      <c r="B295" s="10" t="s">
        <v>638</v>
      </c>
      <c r="C295" s="10" t="s">
        <v>672</v>
      </c>
      <c r="D295" s="10" t="s">
        <v>674</v>
      </c>
      <c r="E295" s="31">
        <v>20613000</v>
      </c>
      <c r="F295" s="39">
        <v>-0.5</v>
      </c>
      <c r="G295" s="40">
        <f t="shared" si="0"/>
        <v>-10306500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</row>
    <row r="296" spans="1:62" ht="14.25" customHeight="1">
      <c r="A296" s="10" t="s">
        <v>570</v>
      </c>
      <c r="B296" s="10" t="s">
        <v>638</v>
      </c>
      <c r="C296" s="10" t="s">
        <v>672</v>
      </c>
      <c r="D296" s="10" t="s">
        <v>675</v>
      </c>
      <c r="E296" s="31">
        <v>39519000</v>
      </c>
      <c r="F296" s="39">
        <v>-0.5</v>
      </c>
      <c r="G296" s="40">
        <f t="shared" si="0"/>
        <v>-19759500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</row>
    <row r="297" spans="1:62" ht="14.25" customHeight="1">
      <c r="A297" s="10" t="s">
        <v>570</v>
      </c>
      <c r="B297" s="10" t="s">
        <v>638</v>
      </c>
      <c r="C297" s="10" t="s">
        <v>676</v>
      </c>
      <c r="D297" s="10" t="s">
        <v>677</v>
      </c>
      <c r="E297" s="31">
        <v>142837000</v>
      </c>
      <c r="F297" s="39">
        <v>-0.5</v>
      </c>
      <c r="G297" s="40">
        <f t="shared" si="0"/>
        <v>-71418500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</row>
    <row r="298" spans="1:62" ht="14.25" customHeight="1">
      <c r="A298" s="10" t="s">
        <v>570</v>
      </c>
      <c r="B298" s="10" t="s">
        <v>638</v>
      </c>
      <c r="C298" s="10" t="s">
        <v>676</v>
      </c>
      <c r="D298" s="10" t="s">
        <v>678</v>
      </c>
      <c r="E298" s="31">
        <v>213313000</v>
      </c>
      <c r="F298" s="39">
        <v>-0.5</v>
      </c>
      <c r="G298" s="40">
        <f t="shared" si="0"/>
        <v>-106656500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</row>
    <row r="299" spans="1:62" ht="14.25" customHeight="1">
      <c r="A299" s="10" t="s">
        <v>679</v>
      </c>
      <c r="B299" s="10" t="s">
        <v>680</v>
      </c>
      <c r="C299" s="10" t="s">
        <v>681</v>
      </c>
      <c r="D299" s="10" t="s">
        <v>681</v>
      </c>
      <c r="E299" s="31">
        <v>290479</v>
      </c>
      <c r="F299" s="39">
        <v>-0.3</v>
      </c>
      <c r="G299" s="40">
        <f t="shared" si="0"/>
        <v>-87143.7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</row>
    <row r="300" spans="1:62" ht="14.25" customHeight="1">
      <c r="A300" s="10" t="s">
        <v>679</v>
      </c>
      <c r="B300" s="10" t="s">
        <v>680</v>
      </c>
      <c r="C300" s="10" t="s">
        <v>682</v>
      </c>
      <c r="D300" s="10" t="s">
        <v>683</v>
      </c>
      <c r="E300" s="31">
        <v>1858887</v>
      </c>
      <c r="F300" s="39">
        <v>-0.7</v>
      </c>
      <c r="G300" s="40">
        <f t="shared" si="0"/>
        <v>-1301220.8999999999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</row>
    <row r="301" spans="1:62" ht="14.25" customHeight="1">
      <c r="A301" s="10" t="s">
        <v>679</v>
      </c>
      <c r="B301" s="10" t="s">
        <v>680</v>
      </c>
      <c r="C301" s="10" t="s">
        <v>682</v>
      </c>
      <c r="D301" s="10" t="s">
        <v>684</v>
      </c>
      <c r="E301" s="31">
        <v>84341</v>
      </c>
      <c r="F301" s="39">
        <v>-0.7</v>
      </c>
      <c r="G301" s="40">
        <f t="shared" si="0"/>
        <v>-59038.7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</row>
    <row r="302" spans="1:62" ht="14.25" customHeight="1">
      <c r="A302" s="10" t="s">
        <v>679</v>
      </c>
      <c r="B302" s="10" t="s">
        <v>680</v>
      </c>
      <c r="C302" s="10" t="s">
        <v>682</v>
      </c>
      <c r="D302" s="10" t="s">
        <v>685</v>
      </c>
      <c r="E302" s="31">
        <v>990565</v>
      </c>
      <c r="F302" s="39">
        <v>-0.7</v>
      </c>
      <c r="G302" s="40">
        <f t="shared" si="0"/>
        <v>-693395.5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</row>
    <row r="303" spans="1:62" ht="14.25" customHeight="1">
      <c r="A303" s="10" t="s">
        <v>679</v>
      </c>
      <c r="B303" s="10" t="s">
        <v>680</v>
      </c>
      <c r="C303" s="10" t="s">
        <v>686</v>
      </c>
      <c r="D303" s="10" t="s">
        <v>687</v>
      </c>
      <c r="E303" s="31">
        <v>3543188</v>
      </c>
      <c r="F303" s="39">
        <v>-0.3</v>
      </c>
      <c r="G303" s="40">
        <f t="shared" si="0"/>
        <v>-1062956.3999999999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</row>
    <row r="304" spans="1:62" ht="14.25" customHeight="1">
      <c r="A304" s="10" t="s">
        <v>679</v>
      </c>
      <c r="B304" s="10" t="s">
        <v>680</v>
      </c>
      <c r="C304" s="10" t="s">
        <v>686</v>
      </c>
      <c r="D304" s="10" t="s">
        <v>688</v>
      </c>
      <c r="E304" s="31">
        <v>1382</v>
      </c>
      <c r="F304" s="39">
        <v>-0.7</v>
      </c>
      <c r="G304" s="40">
        <f t="shared" si="0"/>
        <v>-967.4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</row>
    <row r="305" spans="1:62" ht="14.25" customHeight="1">
      <c r="A305" s="10" t="s">
        <v>679</v>
      </c>
      <c r="B305" s="10" t="s">
        <v>689</v>
      </c>
      <c r="C305" s="10" t="s">
        <v>690</v>
      </c>
      <c r="D305" s="10" t="s">
        <v>690</v>
      </c>
      <c r="E305" s="31">
        <v>521633</v>
      </c>
      <c r="F305" s="39">
        <v>-0.7</v>
      </c>
      <c r="G305" s="40">
        <f t="shared" si="0"/>
        <v>-365143.1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</row>
    <row r="306" spans="1:62" ht="14.25" customHeight="1">
      <c r="A306" s="10" t="s">
        <v>679</v>
      </c>
      <c r="B306" s="10" t="s">
        <v>689</v>
      </c>
      <c r="C306" s="10" t="s">
        <v>691</v>
      </c>
      <c r="D306" s="10" t="s">
        <v>691</v>
      </c>
      <c r="E306" s="31">
        <v>426275</v>
      </c>
      <c r="F306" s="39">
        <v>-0.7</v>
      </c>
      <c r="G306" s="40">
        <f t="shared" si="0"/>
        <v>-298392.5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</row>
    <row r="307" spans="1:62" ht="14.25" customHeight="1">
      <c r="A307" s="10" t="s">
        <v>679</v>
      </c>
      <c r="B307" s="10" t="s">
        <v>689</v>
      </c>
      <c r="C307" s="10" t="s">
        <v>692</v>
      </c>
      <c r="D307" s="10" t="s">
        <v>692</v>
      </c>
      <c r="E307" s="31">
        <v>935</v>
      </c>
      <c r="F307" s="39">
        <v>-0.7</v>
      </c>
      <c r="G307" s="40">
        <f t="shared" si="0"/>
        <v>-654.5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</row>
    <row r="308" spans="1:62" ht="14.25" customHeight="1">
      <c r="A308" s="10" t="s">
        <v>679</v>
      </c>
      <c r="B308" s="10" t="s">
        <v>689</v>
      </c>
      <c r="C308" s="10" t="s">
        <v>693</v>
      </c>
      <c r="D308" s="10" t="s">
        <v>693</v>
      </c>
      <c r="E308" s="31">
        <v>5353</v>
      </c>
      <c r="F308" s="39">
        <v>-0.3</v>
      </c>
      <c r="G308" s="40">
        <f t="shared" si="0"/>
        <v>-1605.8999999999999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</row>
    <row r="309" spans="1:62" ht="14.25" customHeight="1">
      <c r="A309" s="10" t="s">
        <v>679</v>
      </c>
      <c r="B309" s="10" t="s">
        <v>694</v>
      </c>
      <c r="C309" s="10" t="s">
        <v>695</v>
      </c>
      <c r="D309" s="10" t="s">
        <v>695</v>
      </c>
      <c r="E309" s="31">
        <v>257847</v>
      </c>
      <c r="F309" s="39">
        <v>-0.3</v>
      </c>
      <c r="G309" s="40">
        <f t="shared" si="0"/>
        <v>-77354.099999999991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</row>
    <row r="310" spans="1:62" ht="14.25" customHeight="1">
      <c r="A310" s="10" t="s">
        <v>679</v>
      </c>
      <c r="B310" s="10" t="s">
        <v>694</v>
      </c>
      <c r="C310" s="10" t="s">
        <v>696</v>
      </c>
      <c r="D310" s="10" t="s">
        <v>697</v>
      </c>
      <c r="E310" s="31">
        <v>1175440</v>
      </c>
      <c r="F310" s="39">
        <v>-1</v>
      </c>
      <c r="G310" s="40">
        <f t="shared" si="0"/>
        <v>-1175440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</row>
    <row r="311" spans="1:62" ht="14.25" customHeight="1">
      <c r="A311" s="10" t="s">
        <v>679</v>
      </c>
      <c r="B311" s="10" t="s">
        <v>694</v>
      </c>
      <c r="C311" s="10" t="s">
        <v>696</v>
      </c>
      <c r="D311" s="10" t="s">
        <v>698</v>
      </c>
      <c r="E311" s="31">
        <v>344574</v>
      </c>
      <c r="F311" s="39">
        <v>-1</v>
      </c>
      <c r="G311" s="40">
        <f t="shared" si="0"/>
        <v>-344574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</row>
    <row r="312" spans="1:62" ht="14.25" customHeight="1">
      <c r="A312" s="10" t="s">
        <v>679</v>
      </c>
      <c r="B312" s="10" t="s">
        <v>694</v>
      </c>
      <c r="C312" s="10" t="s">
        <v>696</v>
      </c>
      <c r="D312" s="10" t="s">
        <v>699</v>
      </c>
      <c r="E312" s="31">
        <v>1641019</v>
      </c>
      <c r="F312" s="39">
        <v>-1</v>
      </c>
      <c r="G312" s="40">
        <f t="shared" si="0"/>
        <v>-1641019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</row>
    <row r="313" spans="1:62" ht="14.25" customHeight="1">
      <c r="A313" s="10" t="s">
        <v>679</v>
      </c>
      <c r="B313" s="10" t="s">
        <v>694</v>
      </c>
      <c r="C313" s="10" t="s">
        <v>696</v>
      </c>
      <c r="D313" s="10" t="s">
        <v>700</v>
      </c>
      <c r="E313" s="31">
        <v>226942</v>
      </c>
      <c r="F313" s="39">
        <v>-1</v>
      </c>
      <c r="G313" s="40">
        <f t="shared" si="0"/>
        <v>-226942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</row>
    <row r="314" spans="1:62" ht="14.25" customHeight="1">
      <c r="A314" s="10" t="s">
        <v>679</v>
      </c>
      <c r="B314" s="10" t="s">
        <v>694</v>
      </c>
      <c r="C314" s="10" t="s">
        <v>696</v>
      </c>
      <c r="D314" s="10" t="s">
        <v>701</v>
      </c>
      <c r="E314" s="31">
        <v>705910</v>
      </c>
      <c r="F314" s="39">
        <v>-1</v>
      </c>
      <c r="G314" s="40">
        <f t="shared" si="0"/>
        <v>-705910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ht="14.25" customHeight="1">
      <c r="A315" s="10" t="s">
        <v>679</v>
      </c>
      <c r="B315" s="10" t="s">
        <v>702</v>
      </c>
      <c r="C315" s="10" t="s">
        <v>703</v>
      </c>
      <c r="D315" s="10" t="s">
        <v>703</v>
      </c>
      <c r="E315" s="31">
        <v>113252</v>
      </c>
      <c r="F315" s="39">
        <v>-1</v>
      </c>
      <c r="G315" s="40">
        <f t="shared" si="0"/>
        <v>-113252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</row>
    <row r="316" spans="1:62" ht="14.25" customHeight="1">
      <c r="A316" s="10" t="s">
        <v>704</v>
      </c>
      <c r="B316" s="10" t="s">
        <v>705</v>
      </c>
      <c r="C316" s="10" t="s">
        <v>706</v>
      </c>
      <c r="D316" s="10" t="s">
        <v>706</v>
      </c>
      <c r="E316" s="31">
        <v>8061000</v>
      </c>
      <c r="F316" s="39">
        <v>-1</v>
      </c>
      <c r="G316" s="40">
        <f t="shared" si="0"/>
        <v>-8061000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</row>
    <row r="317" spans="1:62" ht="14.25" customHeight="1">
      <c r="A317" s="10" t="s">
        <v>704</v>
      </c>
      <c r="B317" s="10" t="s">
        <v>705</v>
      </c>
      <c r="C317" s="10" t="s">
        <v>707</v>
      </c>
      <c r="D317" s="10" t="s">
        <v>707</v>
      </c>
      <c r="E317" s="31">
        <v>403289</v>
      </c>
      <c r="F317" s="39">
        <v>-1</v>
      </c>
      <c r="G317" s="40">
        <f t="shared" si="0"/>
        <v>-403289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</row>
    <row r="318" spans="1:62" ht="14.25" customHeight="1">
      <c r="A318" s="10" t="s">
        <v>704</v>
      </c>
      <c r="B318" s="10" t="s">
        <v>705</v>
      </c>
      <c r="C318" s="10" t="s">
        <v>708</v>
      </c>
      <c r="D318" s="10" t="s">
        <v>708</v>
      </c>
      <c r="E318" s="31">
        <v>416816</v>
      </c>
      <c r="F318" s="39">
        <v>-1</v>
      </c>
      <c r="G318" s="40">
        <f t="shared" si="0"/>
        <v>-416816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</row>
    <row r="319" spans="1:62" ht="14.25" customHeight="1">
      <c r="A319" s="10" t="s">
        <v>704</v>
      </c>
      <c r="B319" s="10" t="s">
        <v>705</v>
      </c>
      <c r="C319" s="10" t="s">
        <v>709</v>
      </c>
      <c r="D319" s="10" t="s">
        <v>709</v>
      </c>
      <c r="E319" s="31">
        <v>67925</v>
      </c>
      <c r="F319" s="39">
        <v>-1</v>
      </c>
      <c r="G319" s="40">
        <f t="shared" si="0"/>
        <v>-67925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ht="14.25" customHeight="1">
      <c r="A320" s="10" t="s">
        <v>704</v>
      </c>
      <c r="B320" s="10" t="s">
        <v>710</v>
      </c>
      <c r="C320" s="10" t="s">
        <v>711</v>
      </c>
      <c r="D320" s="10" t="s">
        <v>711</v>
      </c>
      <c r="E320" s="31">
        <v>2739416</v>
      </c>
      <c r="F320" s="39">
        <v>-1</v>
      </c>
      <c r="G320" s="40">
        <f t="shared" si="0"/>
        <v>-2739416</v>
      </c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</row>
    <row r="321" spans="1:62" ht="14.25" customHeight="1">
      <c r="A321" s="10" t="s">
        <v>704</v>
      </c>
      <c r="B321" s="10" t="s">
        <v>710</v>
      </c>
      <c r="C321" s="10" t="s">
        <v>712</v>
      </c>
      <c r="D321" s="10" t="s">
        <v>713</v>
      </c>
      <c r="E321" s="31">
        <v>65146</v>
      </c>
      <c r="F321" s="39">
        <v>-1</v>
      </c>
      <c r="G321" s="40">
        <f t="shared" si="0"/>
        <v>-65146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</row>
    <row r="322" spans="1:62" ht="14.25" customHeight="1">
      <c r="A322" s="10" t="s">
        <v>704</v>
      </c>
      <c r="B322" s="10" t="s">
        <v>710</v>
      </c>
      <c r="C322" s="10" t="s">
        <v>712</v>
      </c>
      <c r="D322" s="10" t="s">
        <v>714</v>
      </c>
      <c r="E322" s="31">
        <v>34423</v>
      </c>
      <c r="F322" s="39">
        <v>-1</v>
      </c>
      <c r="G322" s="40">
        <f t="shared" si="0"/>
        <v>-34423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</row>
    <row r="323" spans="1:62" ht="14.25" customHeight="1">
      <c r="A323" s="10" t="s">
        <v>704</v>
      </c>
      <c r="B323" s="10" t="s">
        <v>710</v>
      </c>
      <c r="C323" s="10" t="s">
        <v>715</v>
      </c>
      <c r="D323" s="10" t="s">
        <v>715</v>
      </c>
      <c r="E323" s="31">
        <v>2077792</v>
      </c>
      <c r="F323" s="39">
        <v>-1</v>
      </c>
      <c r="G323" s="40">
        <f t="shared" si="0"/>
        <v>-2077792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</row>
    <row r="324" spans="1:62" ht="14.25" customHeight="1">
      <c r="A324" s="10" t="s">
        <v>727</v>
      </c>
      <c r="B324" s="10" t="s">
        <v>728</v>
      </c>
      <c r="C324" s="10" t="s">
        <v>729</v>
      </c>
      <c r="D324" s="10" t="s">
        <v>730</v>
      </c>
      <c r="E324" s="31">
        <v>265260</v>
      </c>
      <c r="F324" s="39">
        <v>-0.3</v>
      </c>
      <c r="G324" s="40">
        <f t="shared" si="0"/>
        <v>-79578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ht="14.25" customHeight="1">
      <c r="A325" s="10" t="s">
        <v>727</v>
      </c>
      <c r="B325" s="10" t="s">
        <v>728</v>
      </c>
      <c r="C325" s="10" t="s">
        <v>729</v>
      </c>
      <c r="D325" s="10" t="s">
        <v>731</v>
      </c>
      <c r="E325" s="31">
        <v>369956</v>
      </c>
      <c r="F325" s="39">
        <v>-0.3</v>
      </c>
      <c r="G325" s="40">
        <f t="shared" si="0"/>
        <v>-110986.8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</row>
    <row r="326" spans="1:62" ht="14.25" customHeight="1">
      <c r="A326" s="10" t="s">
        <v>727</v>
      </c>
      <c r="B326" s="10" t="s">
        <v>728</v>
      </c>
      <c r="C326" s="10" t="s">
        <v>729</v>
      </c>
      <c r="D326" s="10" t="s">
        <v>732</v>
      </c>
      <c r="E326" s="31">
        <v>82024</v>
      </c>
      <c r="F326" s="39">
        <v>-0.3</v>
      </c>
      <c r="G326" s="40">
        <f t="shared" si="0"/>
        <v>-24607.200000000001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</row>
    <row r="327" spans="1:62" ht="14.25" customHeight="1">
      <c r="A327" s="10" t="s">
        <v>727</v>
      </c>
      <c r="B327" s="10" t="s">
        <v>733</v>
      </c>
      <c r="C327" s="10" t="s">
        <v>734</v>
      </c>
      <c r="D327" s="10" t="s">
        <v>735</v>
      </c>
      <c r="E327" s="31">
        <v>185668</v>
      </c>
      <c r="F327" s="39">
        <v>-0.7</v>
      </c>
      <c r="G327" s="40">
        <f t="shared" si="0"/>
        <v>-129967.59999999999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</row>
    <row r="328" spans="1:62" ht="14.25" customHeight="1">
      <c r="A328" s="10" t="s">
        <v>727</v>
      </c>
      <c r="B328" s="10" t="s">
        <v>733</v>
      </c>
      <c r="C328" s="10" t="s">
        <v>734</v>
      </c>
      <c r="D328" s="10" t="s">
        <v>736</v>
      </c>
      <c r="E328" s="31">
        <v>1419</v>
      </c>
      <c r="F328" s="39">
        <v>-0.7</v>
      </c>
      <c r="G328" s="40">
        <f t="shared" si="0"/>
        <v>-993.3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</row>
    <row r="329" spans="1:62" ht="14.25" customHeight="1">
      <c r="A329" s="10" t="s">
        <v>727</v>
      </c>
      <c r="B329" s="10" t="s">
        <v>733</v>
      </c>
      <c r="C329" s="10" t="s">
        <v>734</v>
      </c>
      <c r="D329" s="10" t="s">
        <v>737</v>
      </c>
      <c r="E329" s="31">
        <v>158129</v>
      </c>
      <c r="F329" s="39">
        <v>-0.7</v>
      </c>
      <c r="G329" s="40">
        <f t="shared" si="0"/>
        <v>-110690.29999999999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ht="14.25" customHeight="1">
      <c r="A330" s="10" t="s">
        <v>727</v>
      </c>
      <c r="B330" s="10" t="s">
        <v>733</v>
      </c>
      <c r="C330" s="10" t="s">
        <v>734</v>
      </c>
      <c r="D330" s="10" t="s">
        <v>738</v>
      </c>
      <c r="E330" s="31">
        <v>75721</v>
      </c>
      <c r="F330" s="39">
        <v>-0.7</v>
      </c>
      <c r="G330" s="40">
        <f t="shared" si="0"/>
        <v>-53004.7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</row>
    <row r="331" spans="1:62" ht="14.25" customHeight="1">
      <c r="A331" s="10" t="s">
        <v>727</v>
      </c>
      <c r="B331" s="10" t="s">
        <v>733</v>
      </c>
      <c r="C331" s="10" t="s">
        <v>739</v>
      </c>
      <c r="D331" s="10" t="s">
        <v>739</v>
      </c>
      <c r="E331" s="31">
        <v>47850</v>
      </c>
      <c r="F331" s="39">
        <v>-0.7</v>
      </c>
      <c r="G331" s="40">
        <f t="shared" si="0"/>
        <v>-33495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</row>
    <row r="332" spans="1:62" ht="14.25" customHeight="1">
      <c r="A332" s="10" t="s">
        <v>727</v>
      </c>
      <c r="B332" s="10" t="s">
        <v>740</v>
      </c>
      <c r="C332" s="10" t="s">
        <v>741</v>
      </c>
      <c r="D332" s="10" t="s">
        <v>741</v>
      </c>
      <c r="E332" s="31">
        <v>80713</v>
      </c>
      <c r="F332" s="39">
        <v>0</v>
      </c>
      <c r="G332" s="40">
        <f t="shared" si="0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</row>
    <row r="333" spans="1:62" ht="14.25" customHeight="1">
      <c r="A333" s="10" t="s">
        <v>727</v>
      </c>
      <c r="B333" s="10" t="s">
        <v>740</v>
      </c>
      <c r="C333" s="10" t="s">
        <v>742</v>
      </c>
      <c r="D333" s="10" t="s">
        <v>743</v>
      </c>
      <c r="E333" s="31">
        <v>1034793</v>
      </c>
      <c r="F333" s="39">
        <v>0</v>
      </c>
      <c r="G333" s="40">
        <f t="shared" si="0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</row>
    <row r="334" spans="1:62" ht="14.25" customHeight="1">
      <c r="A334" s="10" t="s">
        <v>727</v>
      </c>
      <c r="B334" s="10" t="s">
        <v>744</v>
      </c>
      <c r="C334" s="10" t="s">
        <v>745</v>
      </c>
      <c r="D334" s="10" t="s">
        <v>745</v>
      </c>
      <c r="E334" s="31">
        <v>4075541</v>
      </c>
      <c r="F334" s="39">
        <v>0</v>
      </c>
      <c r="G334" s="40">
        <f t="shared" si="0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</row>
    <row r="335" spans="1:62" ht="14.25" customHeight="1">
      <c r="A335" s="10" t="s">
        <v>727</v>
      </c>
      <c r="B335" s="10" t="s">
        <v>744</v>
      </c>
      <c r="C335" s="10" t="s">
        <v>746</v>
      </c>
      <c r="D335" s="10" t="s">
        <v>746</v>
      </c>
      <c r="E335" s="31">
        <v>1774751</v>
      </c>
      <c r="F335" s="39">
        <v>0</v>
      </c>
      <c r="G335" s="40">
        <f t="shared" si="0"/>
        <v>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</row>
    <row r="336" spans="1:62" ht="14.25" customHeight="1">
      <c r="A336" s="10" t="s">
        <v>727</v>
      </c>
      <c r="B336" s="10" t="s">
        <v>744</v>
      </c>
      <c r="C336" s="10" t="s">
        <v>747</v>
      </c>
      <c r="D336" s="10" t="s">
        <v>747</v>
      </c>
      <c r="E336" s="31">
        <v>350</v>
      </c>
      <c r="F336" s="39">
        <v>0</v>
      </c>
      <c r="G336" s="40">
        <f t="shared" si="0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</row>
    <row r="337" spans="1:62" ht="14.25" customHeight="1">
      <c r="A337" s="10" t="s">
        <v>727</v>
      </c>
      <c r="B337" s="10" t="s">
        <v>744</v>
      </c>
      <c r="C337" s="10" t="s">
        <v>748</v>
      </c>
      <c r="D337" s="10" t="s">
        <v>748</v>
      </c>
      <c r="E337" s="31">
        <v>76786</v>
      </c>
      <c r="F337" s="39">
        <v>0</v>
      </c>
      <c r="G337" s="40">
        <f t="shared" si="0"/>
        <v>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</row>
    <row r="338" spans="1:62" ht="14.25" customHeight="1">
      <c r="A338" s="10" t="s">
        <v>727</v>
      </c>
      <c r="B338" s="10" t="s">
        <v>749</v>
      </c>
      <c r="C338" s="10" t="s">
        <v>749</v>
      </c>
      <c r="D338" s="10" t="s">
        <v>750</v>
      </c>
      <c r="E338" s="31">
        <v>3155706</v>
      </c>
      <c r="F338" s="39">
        <v>0</v>
      </c>
      <c r="G338" s="40">
        <f t="shared" si="0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</row>
    <row r="339" spans="1:62" ht="14.25" customHeight="1">
      <c r="A339" s="10" t="s">
        <v>727</v>
      </c>
      <c r="B339" s="10" t="s">
        <v>749</v>
      </c>
      <c r="C339" s="10" t="s">
        <v>749</v>
      </c>
      <c r="D339" s="10" t="s">
        <v>751</v>
      </c>
      <c r="E339" s="31">
        <v>353364</v>
      </c>
      <c r="F339" s="39">
        <v>0</v>
      </c>
      <c r="G339" s="40">
        <f t="shared" si="0"/>
        <v>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</row>
    <row r="340" spans="1:62" ht="14.25" customHeight="1">
      <c r="A340" s="10" t="s">
        <v>727</v>
      </c>
      <c r="B340" s="10" t="s">
        <v>749</v>
      </c>
      <c r="C340" s="10" t="s">
        <v>749</v>
      </c>
      <c r="D340" s="10" t="s">
        <v>752</v>
      </c>
      <c r="E340" s="31">
        <v>424184</v>
      </c>
      <c r="F340" s="39">
        <v>0</v>
      </c>
      <c r="G340" s="40">
        <f t="shared" si="0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</row>
    <row r="341" spans="1:62" ht="14.25" customHeight="1">
      <c r="A341" s="10" t="s">
        <v>727</v>
      </c>
      <c r="B341" s="10" t="s">
        <v>749</v>
      </c>
      <c r="C341" s="10" t="s">
        <v>749</v>
      </c>
      <c r="D341" s="10" t="s">
        <v>753</v>
      </c>
      <c r="E341" s="31">
        <v>329729</v>
      </c>
      <c r="F341" s="39">
        <v>0</v>
      </c>
      <c r="G341" s="40">
        <f t="shared" si="0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</row>
    <row r="342" spans="1:62" ht="14.25" customHeight="1">
      <c r="A342" s="10" t="s">
        <v>727</v>
      </c>
      <c r="B342" s="10" t="s">
        <v>754</v>
      </c>
      <c r="C342" s="10" t="s">
        <v>755</v>
      </c>
      <c r="D342" s="10" t="s">
        <v>756</v>
      </c>
      <c r="E342" s="31">
        <v>473686</v>
      </c>
      <c r="F342" s="39">
        <v>0</v>
      </c>
      <c r="G342" s="40">
        <f t="shared" si="0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</row>
    <row r="343" spans="1:62" ht="14.25" customHeight="1">
      <c r="A343" s="10" t="s">
        <v>727</v>
      </c>
      <c r="B343" s="10" t="s">
        <v>754</v>
      </c>
      <c r="C343" s="10" t="s">
        <v>755</v>
      </c>
      <c r="D343" s="10" t="s">
        <v>757</v>
      </c>
      <c r="E343" s="31">
        <v>38991</v>
      </c>
      <c r="F343" s="39">
        <v>0</v>
      </c>
      <c r="G343" s="40">
        <f t="shared" si="0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</row>
    <row r="344" spans="1:62" ht="14.25" customHeight="1">
      <c r="A344" s="10" t="s">
        <v>727</v>
      </c>
      <c r="B344" s="10" t="s">
        <v>754</v>
      </c>
      <c r="C344" s="10" t="s">
        <v>758</v>
      </c>
      <c r="D344" s="10" t="s">
        <v>759</v>
      </c>
      <c r="E344" s="31">
        <v>28046</v>
      </c>
      <c r="F344" s="39">
        <v>0</v>
      </c>
      <c r="G344" s="40">
        <f t="shared" si="0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</row>
    <row r="345" spans="1:62" ht="14.25" customHeight="1">
      <c r="A345" s="10" t="s">
        <v>727</v>
      </c>
      <c r="B345" s="10" t="s">
        <v>754</v>
      </c>
      <c r="C345" s="10" t="s">
        <v>758</v>
      </c>
      <c r="D345" s="10" t="s">
        <v>760</v>
      </c>
      <c r="E345" s="31">
        <v>50579</v>
      </c>
      <c r="F345" s="39">
        <v>0</v>
      </c>
      <c r="G345" s="40">
        <f t="shared" si="0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</row>
    <row r="346" spans="1:62" ht="14.25" customHeight="1">
      <c r="A346" s="10" t="s">
        <v>761</v>
      </c>
      <c r="B346" s="10" t="s">
        <v>762</v>
      </c>
      <c r="C346" s="10" t="s">
        <v>763</v>
      </c>
      <c r="D346" s="10" t="s">
        <v>764</v>
      </c>
      <c r="E346" s="31">
        <v>-2386044000</v>
      </c>
      <c r="F346" s="39">
        <v>-0.1</v>
      </c>
      <c r="G346" s="40">
        <f t="shared" si="0"/>
        <v>238604400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</row>
    <row r="347" spans="1:62" ht="14.25" customHeight="1">
      <c r="A347" s="10" t="s">
        <v>761</v>
      </c>
      <c r="B347" s="10" t="s">
        <v>762</v>
      </c>
      <c r="C347" s="10" t="s">
        <v>763</v>
      </c>
      <c r="D347" s="10" t="s">
        <v>765</v>
      </c>
      <c r="E347" s="31">
        <v>11919602000</v>
      </c>
      <c r="F347" s="39">
        <v>-0.1</v>
      </c>
      <c r="G347" s="40">
        <f t="shared" si="0"/>
        <v>-1191960200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</row>
    <row r="348" spans="1:62" ht="14.25" customHeight="1">
      <c r="A348" s="10" t="s">
        <v>761</v>
      </c>
      <c r="B348" s="10" t="s">
        <v>766</v>
      </c>
      <c r="C348" s="10" t="s">
        <v>767</v>
      </c>
      <c r="D348" s="10" t="s">
        <v>768</v>
      </c>
      <c r="E348" s="31">
        <v>751967000</v>
      </c>
      <c r="F348" s="39">
        <v>-0.1</v>
      </c>
      <c r="G348" s="40">
        <f t="shared" si="0"/>
        <v>-75196700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</row>
    <row r="349" spans="1:62" ht="14.25" customHeight="1">
      <c r="A349" s="10" t="s">
        <v>761</v>
      </c>
      <c r="B349" s="10" t="s">
        <v>766</v>
      </c>
      <c r="C349" s="10" t="s">
        <v>767</v>
      </c>
      <c r="D349" s="10" t="s">
        <v>769</v>
      </c>
      <c r="E349" s="31">
        <v>1090078000</v>
      </c>
      <c r="F349" s="39">
        <v>-0.1</v>
      </c>
      <c r="G349" s="40">
        <f t="shared" si="0"/>
        <v>-109007800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</row>
    <row r="350" spans="1:62" ht="14.25" customHeight="1">
      <c r="A350" s="10" t="s">
        <v>761</v>
      </c>
      <c r="B350" s="10" t="s">
        <v>766</v>
      </c>
      <c r="C350" s="10" t="s">
        <v>770</v>
      </c>
      <c r="D350" s="10" t="s">
        <v>770</v>
      </c>
      <c r="E350" s="31">
        <v>0</v>
      </c>
      <c r="F350" s="39">
        <v>-0.1</v>
      </c>
      <c r="G350" s="40">
        <f t="shared" si="0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</row>
    <row r="351" spans="1:62" ht="14.25" customHeight="1">
      <c r="A351" s="10" t="s">
        <v>761</v>
      </c>
      <c r="B351" s="10" t="s">
        <v>766</v>
      </c>
      <c r="C351" s="10" t="s">
        <v>771</v>
      </c>
      <c r="D351" s="10" t="s">
        <v>771</v>
      </c>
      <c r="E351" s="31">
        <v>6708091000</v>
      </c>
      <c r="F351" s="39">
        <v>-0.1</v>
      </c>
      <c r="G351" s="40">
        <f t="shared" si="0"/>
        <v>-670809100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</row>
    <row r="352" spans="1:62" ht="14.25" customHeight="1">
      <c r="A352" s="10" t="s">
        <v>772</v>
      </c>
      <c r="B352" s="10" t="s">
        <v>773</v>
      </c>
      <c r="C352" s="10" t="s">
        <v>774</v>
      </c>
      <c r="D352" s="10" t="s">
        <v>774</v>
      </c>
      <c r="E352" s="31">
        <v>562421</v>
      </c>
      <c r="F352" s="39">
        <v>-0.7</v>
      </c>
      <c r="G352" s="40">
        <f t="shared" si="0"/>
        <v>-393694.69999999995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</row>
    <row r="353" spans="1:62" ht="14.25" customHeight="1">
      <c r="A353" s="10" t="s">
        <v>772</v>
      </c>
      <c r="B353" s="10" t="s">
        <v>773</v>
      </c>
      <c r="C353" s="10" t="s">
        <v>775</v>
      </c>
      <c r="D353" s="10" t="s">
        <v>775</v>
      </c>
      <c r="E353" s="31">
        <v>2121481</v>
      </c>
      <c r="F353" s="39">
        <v>-0.7</v>
      </c>
      <c r="G353" s="40">
        <f t="shared" si="0"/>
        <v>-1485036.7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</row>
    <row r="354" spans="1:62" ht="14.25" customHeight="1">
      <c r="A354" s="10" t="s">
        <v>772</v>
      </c>
      <c r="B354" s="10" t="s">
        <v>773</v>
      </c>
      <c r="C354" s="10" t="s">
        <v>776</v>
      </c>
      <c r="D354" s="10" t="s">
        <v>777</v>
      </c>
      <c r="E354" s="31">
        <v>357582</v>
      </c>
      <c r="F354" s="39">
        <v>-0.7</v>
      </c>
      <c r="G354" s="40">
        <f t="shared" si="0"/>
        <v>-250307.4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</row>
    <row r="355" spans="1:62" ht="14.25" customHeight="1">
      <c r="A355" s="10" t="s">
        <v>772</v>
      </c>
      <c r="B355" s="10" t="s">
        <v>773</v>
      </c>
      <c r="C355" s="10" t="s">
        <v>776</v>
      </c>
      <c r="D355" s="10" t="s">
        <v>778</v>
      </c>
      <c r="E355" s="31">
        <v>615085</v>
      </c>
      <c r="F355" s="39">
        <v>-0.7</v>
      </c>
      <c r="G355" s="40">
        <f t="shared" si="0"/>
        <v>-430559.5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</row>
    <row r="356" spans="1:62" ht="14.25" customHeight="1">
      <c r="A356" s="10" t="s">
        <v>779</v>
      </c>
      <c r="B356" s="10" t="s">
        <v>780</v>
      </c>
      <c r="C356" s="10" t="s">
        <v>781</v>
      </c>
      <c r="D356" s="10" t="s">
        <v>781</v>
      </c>
      <c r="E356" s="31">
        <v>1838154</v>
      </c>
      <c r="F356" s="39">
        <v>-0.3</v>
      </c>
      <c r="G356" s="40">
        <f t="shared" si="0"/>
        <v>-551446.19999999995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</row>
    <row r="357" spans="1:62" ht="14.25" customHeight="1">
      <c r="A357" s="10" t="s">
        <v>779</v>
      </c>
      <c r="B357" s="10" t="s">
        <v>780</v>
      </c>
      <c r="C357" s="10" t="s">
        <v>782</v>
      </c>
      <c r="D357" s="10" t="s">
        <v>782</v>
      </c>
      <c r="E357" s="31">
        <v>1652054</v>
      </c>
      <c r="F357" s="39">
        <v>-0.3</v>
      </c>
      <c r="G357" s="40">
        <f t="shared" si="0"/>
        <v>-495616.19999999995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</row>
    <row r="358" spans="1:62" ht="14.25" customHeight="1">
      <c r="A358" s="10" t="s">
        <v>779</v>
      </c>
      <c r="B358" s="10" t="s">
        <v>783</v>
      </c>
      <c r="C358" s="10" t="s">
        <v>784</v>
      </c>
      <c r="D358" s="10" t="s">
        <v>784</v>
      </c>
      <c r="E358" s="31">
        <v>-184614</v>
      </c>
      <c r="F358" s="39">
        <v>-0.3</v>
      </c>
      <c r="G358" s="40">
        <f t="shared" si="0"/>
        <v>55384.2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</row>
    <row r="359" spans="1:62" ht="14.25" customHeight="1">
      <c r="A359" s="10" t="s">
        <v>779</v>
      </c>
      <c r="B359" s="10" t="s">
        <v>783</v>
      </c>
      <c r="C359" s="10" t="s">
        <v>785</v>
      </c>
      <c r="D359" s="10" t="s">
        <v>786</v>
      </c>
      <c r="E359" s="31">
        <v>31519</v>
      </c>
      <c r="F359" s="39">
        <v>-0.3</v>
      </c>
      <c r="G359" s="40">
        <f t="shared" si="0"/>
        <v>-9455.6999999999989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</row>
    <row r="360" spans="1:62" ht="14.25" customHeight="1">
      <c r="A360" s="10" t="s">
        <v>779</v>
      </c>
      <c r="B360" s="10" t="s">
        <v>783</v>
      </c>
      <c r="C360" s="10" t="s">
        <v>785</v>
      </c>
      <c r="D360" s="10" t="s">
        <v>787</v>
      </c>
      <c r="E360" s="31">
        <v>1382559</v>
      </c>
      <c r="F360" s="39">
        <v>-0.3</v>
      </c>
      <c r="G360" s="40">
        <f t="shared" si="0"/>
        <v>-414767.7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</row>
    <row r="361" spans="1:62" ht="14.25" customHeight="1">
      <c r="A361" s="10" t="s">
        <v>779</v>
      </c>
      <c r="B361" s="10" t="s">
        <v>788</v>
      </c>
      <c r="C361" s="10" t="s">
        <v>789</v>
      </c>
      <c r="D361" s="10" t="s">
        <v>790</v>
      </c>
      <c r="E361" s="31">
        <v>356107</v>
      </c>
      <c r="F361" s="39">
        <v>-0.3</v>
      </c>
      <c r="G361" s="40">
        <f t="shared" si="0"/>
        <v>-106832.09999999999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</row>
    <row r="362" spans="1:62" ht="14.25" customHeight="1">
      <c r="A362" s="10" t="s">
        <v>779</v>
      </c>
      <c r="B362" s="10" t="s">
        <v>788</v>
      </c>
      <c r="C362" s="10" t="s">
        <v>789</v>
      </c>
      <c r="D362" s="10" t="s">
        <v>791</v>
      </c>
      <c r="E362" s="31">
        <v>2925577</v>
      </c>
      <c r="F362" s="39">
        <v>-0.3</v>
      </c>
      <c r="G362" s="40">
        <f t="shared" si="0"/>
        <v>-877673.1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</row>
    <row r="363" spans="1:62" ht="14.25" customHeight="1">
      <c r="A363" s="10" t="s">
        <v>779</v>
      </c>
      <c r="B363" s="10" t="s">
        <v>788</v>
      </c>
      <c r="C363" s="10" t="s">
        <v>792</v>
      </c>
      <c r="D363" s="10" t="s">
        <v>792</v>
      </c>
      <c r="E363" s="31">
        <v>1175273</v>
      </c>
      <c r="F363" s="39">
        <v>-0.3</v>
      </c>
      <c r="G363" s="40">
        <f t="shared" si="0"/>
        <v>-352581.89999999997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</row>
    <row r="364" spans="1:62" ht="14.25" customHeight="1">
      <c r="A364" s="10" t="s">
        <v>779</v>
      </c>
      <c r="B364" s="10" t="s">
        <v>793</v>
      </c>
      <c r="C364" s="10" t="s">
        <v>794</v>
      </c>
      <c r="D364" s="10" t="s">
        <v>795</v>
      </c>
      <c r="E364" s="31">
        <v>63926</v>
      </c>
      <c r="F364" s="39">
        <v>-0.3</v>
      </c>
      <c r="G364" s="40">
        <f t="shared" si="0"/>
        <v>-19177.8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</row>
    <row r="365" spans="1:62" ht="14.25" customHeight="1">
      <c r="A365" s="10" t="s">
        <v>779</v>
      </c>
      <c r="B365" s="10" t="s">
        <v>793</v>
      </c>
      <c r="C365" s="10" t="s">
        <v>794</v>
      </c>
      <c r="D365" s="10" t="s">
        <v>797</v>
      </c>
      <c r="E365" s="31">
        <v>544614</v>
      </c>
      <c r="F365" s="39">
        <v>-0.3</v>
      </c>
      <c r="G365" s="40">
        <f t="shared" si="0"/>
        <v>-163384.19999999998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</row>
    <row r="366" spans="1:62" ht="14.25" customHeight="1">
      <c r="A366" s="10" t="s">
        <v>779</v>
      </c>
      <c r="B366" s="10" t="s">
        <v>793</v>
      </c>
      <c r="C366" s="10" t="s">
        <v>798</v>
      </c>
      <c r="D366" s="10" t="s">
        <v>798</v>
      </c>
      <c r="E366" s="31">
        <v>16503</v>
      </c>
      <c r="F366" s="39">
        <v>-0.3</v>
      </c>
      <c r="G366" s="40">
        <f t="shared" si="0"/>
        <v>-4950.8999999999996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</row>
    <row r="367" spans="1:62" ht="14.25" customHeight="1">
      <c r="A367" s="10" t="s">
        <v>779</v>
      </c>
      <c r="B367" s="10" t="s">
        <v>800</v>
      </c>
      <c r="C367" s="10" t="s">
        <v>801</v>
      </c>
      <c r="D367" s="10" t="s">
        <v>802</v>
      </c>
      <c r="E367" s="31">
        <v>994807</v>
      </c>
      <c r="F367" s="39">
        <v>-0.5</v>
      </c>
      <c r="G367" s="40">
        <f t="shared" si="0"/>
        <v>-497403.5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</row>
    <row r="368" spans="1:62" ht="14.25" customHeight="1">
      <c r="A368" s="10" t="s">
        <v>779</v>
      </c>
      <c r="B368" s="10" t="s">
        <v>800</v>
      </c>
      <c r="C368" s="10" t="s">
        <v>801</v>
      </c>
      <c r="D368" s="10" t="s">
        <v>803</v>
      </c>
      <c r="E368" s="31">
        <v>138328</v>
      </c>
      <c r="F368" s="39">
        <v>-0.5</v>
      </c>
      <c r="G368" s="40">
        <f t="shared" si="0"/>
        <v>-69164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</row>
    <row r="369" spans="1:62" ht="14.25" customHeight="1">
      <c r="A369" s="10" t="s">
        <v>779</v>
      </c>
      <c r="B369" s="10" t="s">
        <v>800</v>
      </c>
      <c r="C369" s="10" t="s">
        <v>804</v>
      </c>
      <c r="D369" s="10" t="s">
        <v>804</v>
      </c>
      <c r="E369" s="31">
        <v>192282</v>
      </c>
      <c r="F369" s="39">
        <v>-0.5</v>
      </c>
      <c r="G369" s="40">
        <f t="shared" si="0"/>
        <v>-96141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</row>
    <row r="370" spans="1:62" ht="14.25" customHeight="1">
      <c r="A370" s="10" t="s">
        <v>779</v>
      </c>
      <c r="B370" s="10" t="s">
        <v>805</v>
      </c>
      <c r="C370" s="10" t="s">
        <v>806</v>
      </c>
      <c r="D370" s="10" t="s">
        <v>806</v>
      </c>
      <c r="E370" s="31">
        <v>182280</v>
      </c>
      <c r="F370" s="39">
        <v>-0.5</v>
      </c>
      <c r="G370" s="40">
        <f t="shared" si="0"/>
        <v>-91140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</row>
    <row r="371" spans="1:62" ht="14.25" customHeight="1">
      <c r="A371" s="10" t="s">
        <v>779</v>
      </c>
      <c r="B371" s="10" t="s">
        <v>805</v>
      </c>
      <c r="C371" s="10" t="s">
        <v>807</v>
      </c>
      <c r="D371" s="10" t="s">
        <v>807</v>
      </c>
      <c r="E371" s="31">
        <v>59946</v>
      </c>
      <c r="F371" s="39">
        <v>-0.3</v>
      </c>
      <c r="G371" s="40">
        <f t="shared" si="0"/>
        <v>-17983.8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</row>
    <row r="372" spans="1:62" ht="14.25" customHeight="1">
      <c r="A372" s="10" t="s">
        <v>779</v>
      </c>
      <c r="B372" s="10" t="s">
        <v>805</v>
      </c>
      <c r="C372" s="10" t="s">
        <v>808</v>
      </c>
      <c r="D372" s="10" t="s">
        <v>808</v>
      </c>
      <c r="E372" s="31">
        <v>93875</v>
      </c>
      <c r="F372" s="39">
        <v>-0.3</v>
      </c>
      <c r="G372" s="40">
        <f t="shared" si="0"/>
        <v>-28162.5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</row>
    <row r="373" spans="1:62" ht="14.25" customHeight="1">
      <c r="A373" s="10" t="s">
        <v>779</v>
      </c>
      <c r="B373" s="10" t="s">
        <v>805</v>
      </c>
      <c r="C373" s="10" t="s">
        <v>809</v>
      </c>
      <c r="D373" s="10" t="s">
        <v>809</v>
      </c>
      <c r="E373" s="31">
        <v>197570</v>
      </c>
      <c r="F373" s="39">
        <v>-0.3</v>
      </c>
      <c r="G373" s="40">
        <f t="shared" si="0"/>
        <v>-59271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</row>
    <row r="374" spans="1:62" ht="14.25" customHeight="1">
      <c r="A374" s="10" t="s">
        <v>779</v>
      </c>
      <c r="B374" s="10" t="s">
        <v>810</v>
      </c>
      <c r="C374" s="10" t="s">
        <v>810</v>
      </c>
      <c r="D374" s="10" t="s">
        <v>810</v>
      </c>
      <c r="E374" s="31">
        <v>334425</v>
      </c>
      <c r="F374" s="39">
        <v>0</v>
      </c>
      <c r="G374" s="40">
        <f t="shared" si="0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</row>
    <row r="375" spans="1:62" ht="14.25" customHeight="1">
      <c r="A375" s="10" t="s">
        <v>811</v>
      </c>
      <c r="B375" s="10" t="s">
        <v>812</v>
      </c>
      <c r="C375" s="10" t="s">
        <v>813</v>
      </c>
      <c r="D375" s="10" t="s">
        <v>814</v>
      </c>
      <c r="E375" s="31">
        <v>647357</v>
      </c>
      <c r="F375" s="39">
        <v>-0.7</v>
      </c>
      <c r="G375" s="40">
        <f t="shared" si="0"/>
        <v>-453149.89999999997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</row>
    <row r="376" spans="1:62" ht="14.25" customHeight="1">
      <c r="A376" s="10" t="s">
        <v>811</v>
      </c>
      <c r="B376" s="10" t="s">
        <v>812</v>
      </c>
      <c r="C376" s="10" t="s">
        <v>813</v>
      </c>
      <c r="D376" s="10" t="s">
        <v>816</v>
      </c>
      <c r="E376" s="31">
        <v>10538</v>
      </c>
      <c r="F376" s="39">
        <v>-0.7</v>
      </c>
      <c r="G376" s="40">
        <f t="shared" si="0"/>
        <v>-7376.5999999999995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</row>
    <row r="377" spans="1:62" ht="14.25" customHeight="1">
      <c r="A377" s="10" t="s">
        <v>811</v>
      </c>
      <c r="B377" s="10" t="s">
        <v>812</v>
      </c>
      <c r="C377" s="10" t="s">
        <v>817</v>
      </c>
      <c r="D377" s="10" t="s">
        <v>818</v>
      </c>
      <c r="E377" s="31">
        <v>54674</v>
      </c>
      <c r="F377" s="39">
        <v>-0.7</v>
      </c>
      <c r="G377" s="40">
        <f t="shared" si="0"/>
        <v>-38271.799999999996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</row>
    <row r="378" spans="1:62" ht="14.25" customHeight="1">
      <c r="A378" s="10" t="s">
        <v>811</v>
      </c>
      <c r="B378" s="10" t="s">
        <v>812</v>
      </c>
      <c r="C378" s="10" t="s">
        <v>817</v>
      </c>
      <c r="D378" s="10" t="s">
        <v>819</v>
      </c>
      <c r="E378" s="31">
        <v>47261</v>
      </c>
      <c r="F378" s="39">
        <v>-0.7</v>
      </c>
      <c r="G378" s="40">
        <f t="shared" si="0"/>
        <v>-33082.699999999997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</row>
    <row r="379" spans="1:62" ht="14.25" customHeight="1">
      <c r="A379" s="10" t="s">
        <v>811</v>
      </c>
      <c r="B379" s="10" t="s">
        <v>812</v>
      </c>
      <c r="C379" s="10" t="s">
        <v>820</v>
      </c>
      <c r="D379" s="10" t="s">
        <v>821</v>
      </c>
      <c r="E379" s="31">
        <v>540</v>
      </c>
      <c r="F379" s="39">
        <v>-0.7</v>
      </c>
      <c r="G379" s="40">
        <f t="shared" si="0"/>
        <v>-378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</row>
    <row r="380" spans="1:62" ht="14.25" customHeight="1">
      <c r="A380" s="10" t="s">
        <v>811</v>
      </c>
      <c r="B380" s="10" t="s">
        <v>812</v>
      </c>
      <c r="C380" s="10" t="s">
        <v>820</v>
      </c>
      <c r="D380" s="10" t="s">
        <v>822</v>
      </c>
      <c r="E380" s="31">
        <v>71454</v>
      </c>
      <c r="F380" s="39">
        <v>-0.7</v>
      </c>
      <c r="G380" s="40">
        <f t="shared" si="0"/>
        <v>-50017.799999999996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</row>
    <row r="381" spans="1:62" ht="14.25" customHeight="1">
      <c r="A381" s="10" t="s">
        <v>811</v>
      </c>
      <c r="B381" s="10" t="s">
        <v>812</v>
      </c>
      <c r="C381" s="10" t="s">
        <v>820</v>
      </c>
      <c r="D381" s="10" t="s">
        <v>823</v>
      </c>
      <c r="E381" s="31">
        <v>50096</v>
      </c>
      <c r="F381" s="39">
        <v>-0.7</v>
      </c>
      <c r="G381" s="40">
        <f t="shared" si="0"/>
        <v>-35067.199999999997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</row>
    <row r="382" spans="1:62" ht="14.25" customHeight="1">
      <c r="A382" s="10" t="s">
        <v>811</v>
      </c>
      <c r="B382" s="10" t="s">
        <v>812</v>
      </c>
      <c r="C382" s="10" t="s">
        <v>820</v>
      </c>
      <c r="D382" s="10" t="s">
        <v>828</v>
      </c>
      <c r="E382" s="31">
        <v>473171</v>
      </c>
      <c r="F382" s="39">
        <v>-0.7</v>
      </c>
      <c r="G382" s="40">
        <f t="shared" si="0"/>
        <v>-331219.69999999995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</row>
    <row r="383" spans="1:62" ht="14.25" customHeight="1">
      <c r="A383" s="10" t="s">
        <v>811</v>
      </c>
      <c r="B383" s="10" t="s">
        <v>812</v>
      </c>
      <c r="C383" s="10" t="s">
        <v>820</v>
      </c>
      <c r="D383" s="10" t="s">
        <v>829</v>
      </c>
      <c r="E383" s="31">
        <v>-265</v>
      </c>
      <c r="F383" s="39">
        <v>-0.7</v>
      </c>
      <c r="G383" s="40">
        <f t="shared" si="0"/>
        <v>185.5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</row>
    <row r="384" spans="1:62" ht="14.25" customHeight="1">
      <c r="A384" s="10" t="s">
        <v>811</v>
      </c>
      <c r="B384" s="10" t="s">
        <v>812</v>
      </c>
      <c r="C384" s="10" t="s">
        <v>820</v>
      </c>
      <c r="D384" s="10" t="s">
        <v>830</v>
      </c>
      <c r="E384" s="31">
        <v>134960</v>
      </c>
      <c r="F384" s="39">
        <v>-0.7</v>
      </c>
      <c r="G384" s="40">
        <f t="shared" si="0"/>
        <v>-94472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</row>
    <row r="385" spans="1:62" ht="14.25" customHeight="1">
      <c r="A385" s="10" t="s">
        <v>811</v>
      </c>
      <c r="B385" s="10" t="s">
        <v>831</v>
      </c>
      <c r="C385" s="10" t="s">
        <v>832</v>
      </c>
      <c r="D385" s="10" t="s">
        <v>832</v>
      </c>
      <c r="E385" s="31">
        <v>57689</v>
      </c>
      <c r="F385" s="39">
        <v>-0.3</v>
      </c>
      <c r="G385" s="40">
        <f t="shared" si="0"/>
        <v>-17306.7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</row>
    <row r="386" spans="1:62" ht="14.25" customHeight="1">
      <c r="A386" s="10" t="s">
        <v>811</v>
      </c>
      <c r="B386" s="10" t="s">
        <v>831</v>
      </c>
      <c r="C386" s="10" t="s">
        <v>833</v>
      </c>
      <c r="D386" s="10" t="s">
        <v>833</v>
      </c>
      <c r="E386" s="31">
        <v>793588</v>
      </c>
      <c r="F386" s="39">
        <v>-0.3</v>
      </c>
      <c r="G386" s="40">
        <f t="shared" si="0"/>
        <v>-238076.4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</row>
    <row r="387" spans="1:62" ht="14.25" customHeight="1">
      <c r="A387" s="10" t="s">
        <v>811</v>
      </c>
      <c r="B387" s="10" t="s">
        <v>831</v>
      </c>
      <c r="C387" s="10" t="s">
        <v>834</v>
      </c>
      <c r="D387" s="10" t="s">
        <v>834</v>
      </c>
      <c r="E387" s="31">
        <v>311643</v>
      </c>
      <c r="F387" s="39">
        <v>-0.3</v>
      </c>
      <c r="G387" s="40">
        <f t="shared" si="0"/>
        <v>-93492.9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</row>
    <row r="388" spans="1:62" ht="14.25" customHeight="1">
      <c r="A388" s="10" t="s">
        <v>811</v>
      </c>
      <c r="B388" s="10" t="s">
        <v>835</v>
      </c>
      <c r="C388" s="10" t="s">
        <v>836</v>
      </c>
      <c r="D388" s="10" t="s">
        <v>837</v>
      </c>
      <c r="E388" s="31">
        <v>805929</v>
      </c>
      <c r="F388" s="39">
        <v>-1</v>
      </c>
      <c r="G388" s="40">
        <f t="shared" si="0"/>
        <v>-805929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</row>
    <row r="389" spans="1:62" ht="14.25" customHeight="1">
      <c r="A389" s="10" t="s">
        <v>811</v>
      </c>
      <c r="B389" s="10" t="s">
        <v>835</v>
      </c>
      <c r="C389" s="10" t="s">
        <v>836</v>
      </c>
      <c r="D389" s="10" t="s">
        <v>838</v>
      </c>
      <c r="E389" s="31">
        <v>111046</v>
      </c>
      <c r="F389" s="39">
        <v>-1</v>
      </c>
      <c r="G389" s="40">
        <f t="shared" si="0"/>
        <v>-111046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</row>
    <row r="390" spans="1:62" ht="14.25" customHeight="1">
      <c r="A390" s="10" t="s">
        <v>811</v>
      </c>
      <c r="B390" s="10" t="s">
        <v>835</v>
      </c>
      <c r="C390" s="10" t="s">
        <v>839</v>
      </c>
      <c r="D390" s="10" t="s">
        <v>839</v>
      </c>
      <c r="E390" s="31">
        <v>212645</v>
      </c>
      <c r="F390" s="39">
        <v>-1</v>
      </c>
      <c r="G390" s="40">
        <f t="shared" si="0"/>
        <v>-212645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</row>
    <row r="391" spans="1:62" ht="14.25" customHeight="1">
      <c r="A391" s="10" t="s">
        <v>811</v>
      </c>
      <c r="B391" s="10" t="s">
        <v>841</v>
      </c>
      <c r="C391" s="10" t="s">
        <v>842</v>
      </c>
      <c r="D391" s="10" t="s">
        <v>842</v>
      </c>
      <c r="E391" s="31">
        <v>940999</v>
      </c>
      <c r="F391" s="39">
        <v>-0.3</v>
      </c>
      <c r="G391" s="40">
        <f t="shared" si="0"/>
        <v>-282299.7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</row>
    <row r="392" spans="1:62" ht="14.25" customHeight="1">
      <c r="A392" s="10" t="s">
        <v>811</v>
      </c>
      <c r="B392" s="10" t="s">
        <v>841</v>
      </c>
      <c r="C392" s="10" t="s">
        <v>843</v>
      </c>
      <c r="D392" s="10" t="s">
        <v>843</v>
      </c>
      <c r="E392" s="31">
        <v>28296</v>
      </c>
      <c r="F392" s="39">
        <v>-0.3</v>
      </c>
      <c r="G392" s="40">
        <f t="shared" si="0"/>
        <v>-8488.7999999999993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</row>
    <row r="393" spans="1:62" ht="14.25" customHeight="1">
      <c r="A393" s="10" t="s">
        <v>811</v>
      </c>
      <c r="B393" s="10" t="s">
        <v>841</v>
      </c>
      <c r="C393" s="10" t="s">
        <v>844</v>
      </c>
      <c r="D393" s="10" t="s">
        <v>844</v>
      </c>
      <c r="E393" s="31">
        <v>2634</v>
      </c>
      <c r="F393" s="39">
        <v>-0.3</v>
      </c>
      <c r="G393" s="40">
        <f t="shared" si="0"/>
        <v>-790.19999999999993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</row>
    <row r="394" spans="1:62" ht="14.25" customHeight="1">
      <c r="A394" s="10" t="s">
        <v>811</v>
      </c>
      <c r="B394" s="10" t="s">
        <v>845</v>
      </c>
      <c r="C394" s="10" t="s">
        <v>846</v>
      </c>
      <c r="D394" s="10" t="s">
        <v>846</v>
      </c>
      <c r="E394" s="31">
        <v>75752</v>
      </c>
      <c r="F394" s="39">
        <v>-0.3</v>
      </c>
      <c r="G394" s="40">
        <f t="shared" si="0"/>
        <v>-22725.599999999999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</row>
    <row r="395" spans="1:62" ht="14.25" customHeight="1">
      <c r="A395" s="10" t="s">
        <v>811</v>
      </c>
      <c r="B395" s="10" t="s">
        <v>845</v>
      </c>
      <c r="C395" s="10" t="s">
        <v>847</v>
      </c>
      <c r="D395" s="10" t="s">
        <v>848</v>
      </c>
      <c r="E395" s="31">
        <v>401403</v>
      </c>
      <c r="F395" s="39">
        <v>-0.3</v>
      </c>
      <c r="G395" s="40">
        <f t="shared" si="0"/>
        <v>-120420.9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</row>
    <row r="396" spans="1:62" ht="14.25" customHeight="1">
      <c r="A396" s="10" t="s">
        <v>811</v>
      </c>
      <c r="B396" s="10" t="s">
        <v>845</v>
      </c>
      <c r="C396" s="10" t="s">
        <v>847</v>
      </c>
      <c r="D396" s="10" t="s">
        <v>850</v>
      </c>
      <c r="E396" s="31">
        <v>93665</v>
      </c>
      <c r="F396" s="39">
        <v>-0.3</v>
      </c>
      <c r="G396" s="40">
        <f t="shared" si="0"/>
        <v>-28099.5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</row>
    <row r="397" spans="1:62" ht="14.25" customHeight="1">
      <c r="A397" s="10" t="s">
        <v>811</v>
      </c>
      <c r="B397" s="10" t="s">
        <v>845</v>
      </c>
      <c r="C397" s="10" t="s">
        <v>847</v>
      </c>
      <c r="D397" s="10" t="s">
        <v>851</v>
      </c>
      <c r="E397" s="31">
        <v>134641</v>
      </c>
      <c r="F397" s="39">
        <v>-0.3</v>
      </c>
      <c r="G397" s="40">
        <f t="shared" si="0"/>
        <v>-40392.299999999996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</row>
    <row r="398" spans="1:62" ht="14.25" customHeight="1">
      <c r="A398" s="10" t="s">
        <v>811</v>
      </c>
      <c r="B398" s="10" t="s">
        <v>845</v>
      </c>
      <c r="C398" s="10" t="s">
        <v>852</v>
      </c>
      <c r="D398" s="10" t="s">
        <v>852</v>
      </c>
      <c r="E398" s="31">
        <v>280508</v>
      </c>
      <c r="F398" s="39">
        <v>-0.3</v>
      </c>
      <c r="G398" s="40">
        <f t="shared" si="0"/>
        <v>-84152.4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</row>
    <row r="399" spans="1:62" ht="14.25" customHeight="1">
      <c r="A399" s="10" t="s">
        <v>811</v>
      </c>
      <c r="B399" s="10" t="s">
        <v>853</v>
      </c>
      <c r="C399" s="10" t="s">
        <v>854</v>
      </c>
      <c r="D399" s="10" t="s">
        <v>855</v>
      </c>
      <c r="E399" s="31">
        <v>12304</v>
      </c>
      <c r="F399" s="39">
        <v>-0.3</v>
      </c>
      <c r="G399" s="40">
        <f t="shared" si="0"/>
        <v>-3691.2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</row>
    <row r="400" spans="1:62" ht="14.25" customHeight="1">
      <c r="A400" s="10" t="s">
        <v>811</v>
      </c>
      <c r="B400" s="10" t="s">
        <v>853</v>
      </c>
      <c r="C400" s="10" t="s">
        <v>854</v>
      </c>
      <c r="D400" s="10" t="s">
        <v>856</v>
      </c>
      <c r="E400" s="31">
        <v>12188</v>
      </c>
      <c r="F400" s="39">
        <v>-0.3</v>
      </c>
      <c r="G400" s="40">
        <f t="shared" si="0"/>
        <v>-3656.4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</row>
    <row r="401" spans="1:62" ht="14.25" customHeight="1">
      <c r="A401" s="10" t="s">
        <v>811</v>
      </c>
      <c r="B401" s="10" t="s">
        <v>853</v>
      </c>
      <c r="C401" s="10" t="s">
        <v>858</v>
      </c>
      <c r="D401" s="10" t="s">
        <v>858</v>
      </c>
      <c r="E401" s="31">
        <v>104215</v>
      </c>
      <c r="F401" s="39">
        <v>-0.3</v>
      </c>
      <c r="G401" s="40">
        <f t="shared" si="0"/>
        <v>-31264.5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</row>
    <row r="402" spans="1:62" ht="14.25" customHeight="1">
      <c r="A402" s="10" t="s">
        <v>811</v>
      </c>
      <c r="B402" s="10" t="s">
        <v>853</v>
      </c>
      <c r="C402" s="10" t="s">
        <v>859</v>
      </c>
      <c r="D402" s="10" t="s">
        <v>859</v>
      </c>
      <c r="E402" s="31">
        <v>59264</v>
      </c>
      <c r="F402" s="39">
        <v>-0.3</v>
      </c>
      <c r="G402" s="40">
        <f t="shared" si="0"/>
        <v>-17779.2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</row>
    <row r="403" spans="1:62" ht="14.25" customHeight="1">
      <c r="A403" s="10" t="s">
        <v>811</v>
      </c>
      <c r="B403" s="10" t="s">
        <v>853</v>
      </c>
      <c r="C403" s="10" t="s">
        <v>860</v>
      </c>
      <c r="D403" s="10" t="s">
        <v>861</v>
      </c>
      <c r="E403" s="31">
        <v>14748</v>
      </c>
      <c r="F403" s="39">
        <v>-0.3</v>
      </c>
      <c r="G403" s="40">
        <f t="shared" si="0"/>
        <v>-4424.3999999999996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</row>
    <row r="404" spans="1:62" ht="14.25" customHeight="1">
      <c r="A404" s="10" t="s">
        <v>811</v>
      </c>
      <c r="B404" s="10" t="s">
        <v>853</v>
      </c>
      <c r="C404" s="10" t="s">
        <v>860</v>
      </c>
      <c r="D404" s="10" t="s">
        <v>862</v>
      </c>
      <c r="E404" s="31">
        <v>38646</v>
      </c>
      <c r="F404" s="39">
        <v>-0.3</v>
      </c>
      <c r="G404" s="40">
        <f t="shared" si="0"/>
        <v>-11593.8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</row>
    <row r="405" spans="1:62" ht="14.25" customHeight="1">
      <c r="A405" s="10" t="s">
        <v>811</v>
      </c>
      <c r="B405" s="10" t="s">
        <v>853</v>
      </c>
      <c r="C405" s="10" t="s">
        <v>860</v>
      </c>
      <c r="D405" s="10" t="s">
        <v>863</v>
      </c>
      <c r="E405" s="31">
        <v>156479</v>
      </c>
      <c r="F405" s="39">
        <v>-0.3</v>
      </c>
      <c r="G405" s="40">
        <f t="shared" si="0"/>
        <v>-46943.7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</row>
    <row r="406" spans="1:62" ht="14.25" customHeight="1">
      <c r="A406" s="10" t="s">
        <v>864</v>
      </c>
      <c r="B406" s="10" t="s">
        <v>865</v>
      </c>
      <c r="C406" s="10" t="s">
        <v>866</v>
      </c>
      <c r="D406" s="10" t="s">
        <v>867</v>
      </c>
      <c r="E406" s="31">
        <v>295798</v>
      </c>
      <c r="F406" s="39">
        <v>-0.3</v>
      </c>
      <c r="G406" s="40">
        <f t="shared" si="0"/>
        <v>-88739.4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</row>
    <row r="407" spans="1:62" ht="14.25" customHeight="1">
      <c r="A407" s="10" t="s">
        <v>864</v>
      </c>
      <c r="B407" s="10" t="s">
        <v>865</v>
      </c>
      <c r="C407" s="10" t="s">
        <v>866</v>
      </c>
      <c r="D407" s="10" t="s">
        <v>869</v>
      </c>
      <c r="E407" s="31">
        <v>61589</v>
      </c>
      <c r="F407" s="39">
        <v>-0.3</v>
      </c>
      <c r="G407" s="40">
        <f t="shared" si="0"/>
        <v>-18476.7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</row>
    <row r="408" spans="1:62" ht="14.25" customHeight="1">
      <c r="A408" s="10" t="s">
        <v>864</v>
      </c>
      <c r="B408" s="10" t="s">
        <v>865</v>
      </c>
      <c r="C408" s="10" t="s">
        <v>870</v>
      </c>
      <c r="D408" s="10" t="s">
        <v>871</v>
      </c>
      <c r="E408" s="31">
        <v>20291</v>
      </c>
      <c r="F408" s="39">
        <v>-0.3</v>
      </c>
      <c r="G408" s="40">
        <f t="shared" si="0"/>
        <v>-6087.3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</row>
    <row r="409" spans="1:62" ht="14.25" customHeight="1">
      <c r="A409" s="10" t="s">
        <v>864</v>
      </c>
      <c r="B409" s="10" t="s">
        <v>865</v>
      </c>
      <c r="C409" s="10" t="s">
        <v>870</v>
      </c>
      <c r="D409" s="10" t="s">
        <v>872</v>
      </c>
      <c r="E409" s="31">
        <v>95362</v>
      </c>
      <c r="F409" s="39">
        <v>-0.3</v>
      </c>
      <c r="G409" s="40">
        <f t="shared" si="0"/>
        <v>-28608.6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</row>
    <row r="410" spans="1:62" ht="14.25" customHeight="1">
      <c r="A410" s="10" t="s">
        <v>864</v>
      </c>
      <c r="B410" s="10" t="s">
        <v>865</v>
      </c>
      <c r="C410" s="10" t="s">
        <v>870</v>
      </c>
      <c r="D410" s="10" t="s">
        <v>873</v>
      </c>
      <c r="E410" s="31">
        <v>2838</v>
      </c>
      <c r="F410" s="39">
        <v>-0.3</v>
      </c>
      <c r="G410" s="40">
        <f t="shared" si="0"/>
        <v>-851.4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</row>
    <row r="411" spans="1:62" ht="14.25" customHeight="1">
      <c r="A411" s="10" t="s">
        <v>864</v>
      </c>
      <c r="B411" s="10" t="s">
        <v>865</v>
      </c>
      <c r="C411" s="10" t="s">
        <v>870</v>
      </c>
      <c r="D411" s="10" t="s">
        <v>874</v>
      </c>
      <c r="E411" s="31">
        <v>21600</v>
      </c>
      <c r="F411" s="39">
        <v>-0.3</v>
      </c>
      <c r="G411" s="40">
        <f t="shared" si="0"/>
        <v>-6480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</row>
    <row r="412" spans="1:62" ht="14.25" customHeight="1">
      <c r="A412" s="10" t="s">
        <v>864</v>
      </c>
      <c r="B412" s="10" t="s">
        <v>865</v>
      </c>
      <c r="C412" s="10" t="s">
        <v>870</v>
      </c>
      <c r="D412" s="10" t="s">
        <v>875</v>
      </c>
      <c r="E412" s="31">
        <v>8219</v>
      </c>
      <c r="F412" s="39">
        <v>-0.3</v>
      </c>
      <c r="G412" s="40">
        <f t="shared" si="0"/>
        <v>-2465.6999999999998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</row>
    <row r="413" spans="1:62" ht="14.25" customHeight="1">
      <c r="A413" s="10" t="s">
        <v>864</v>
      </c>
      <c r="B413" s="10" t="s">
        <v>865</v>
      </c>
      <c r="C413" s="10" t="s">
        <v>870</v>
      </c>
      <c r="D413" s="10" t="s">
        <v>876</v>
      </c>
      <c r="E413" s="31">
        <v>32348</v>
      </c>
      <c r="F413" s="39">
        <v>-0.3</v>
      </c>
      <c r="G413" s="40">
        <f t="shared" si="0"/>
        <v>-9704.4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</row>
    <row r="414" spans="1:62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</row>
    <row r="415" spans="1:62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</row>
    <row r="416" spans="1:62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</row>
    <row r="417" spans="1:62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</row>
    <row r="418" spans="1:62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</row>
    <row r="419" spans="1:62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</row>
    <row r="420" spans="1:62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</row>
    <row r="421" spans="1:62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</row>
    <row r="422" spans="1:6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</row>
    <row r="423" spans="1:62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</row>
    <row r="424" spans="1:62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</row>
    <row r="425" spans="1:62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</row>
    <row r="426" spans="1:62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</row>
    <row r="427" spans="1:62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</row>
    <row r="428" spans="1:62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</row>
    <row r="429" spans="1:62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</row>
    <row r="430" spans="1:62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</row>
    <row r="431" spans="1:62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</row>
    <row r="432" spans="1:6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</row>
    <row r="433" spans="1:62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</row>
    <row r="434" spans="1:62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</row>
    <row r="435" spans="1:62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</row>
    <row r="436" spans="1:62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</row>
    <row r="437" spans="1:62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</row>
    <row r="438" spans="1:62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</row>
    <row r="439" spans="1:62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</row>
    <row r="440" spans="1:62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</row>
    <row r="441" spans="1:62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</row>
    <row r="442" spans="1:6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</row>
    <row r="443" spans="1:62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</row>
    <row r="444" spans="1:62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</row>
    <row r="445" spans="1:62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</row>
    <row r="446" spans="1:62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</row>
    <row r="447" spans="1:62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</row>
    <row r="448" spans="1:62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</row>
    <row r="449" spans="1:62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</row>
    <row r="450" spans="1:62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</row>
    <row r="451" spans="1:62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</row>
    <row r="452" spans="1:6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</row>
    <row r="453" spans="1:62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</row>
    <row r="454" spans="1:62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</row>
    <row r="455" spans="1:62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</row>
    <row r="456" spans="1:62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</row>
    <row r="457" spans="1:62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</row>
    <row r="458" spans="1:62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</row>
    <row r="459" spans="1:62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</row>
    <row r="460" spans="1:62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</row>
    <row r="461" spans="1:62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</row>
    <row r="462" spans="1: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</row>
    <row r="463" spans="1:62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</row>
    <row r="464" spans="1:62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</row>
    <row r="465" spans="1:62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</row>
    <row r="466" spans="1:62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</row>
    <row r="467" spans="1:62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</row>
    <row r="468" spans="1:62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</row>
    <row r="469" spans="1:62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</row>
    <row r="470" spans="1:62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</row>
    <row r="471" spans="1:62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</row>
    <row r="472" spans="1:6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</row>
    <row r="473" spans="1:62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</row>
    <row r="474" spans="1:62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</row>
    <row r="475" spans="1:62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</row>
    <row r="476" spans="1:62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</row>
    <row r="477" spans="1:62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</row>
    <row r="478" spans="1:62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</row>
    <row r="479" spans="1:62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</row>
    <row r="480" spans="1:62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</row>
    <row r="481" spans="1:62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</row>
    <row r="482" spans="1:6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</row>
    <row r="483" spans="1:62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</row>
    <row r="484" spans="1:62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</row>
    <row r="485" spans="1:62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</row>
    <row r="486" spans="1:62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</row>
    <row r="487" spans="1:62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</row>
    <row r="488" spans="1:62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</row>
    <row r="489" spans="1:62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</row>
    <row r="490" spans="1:62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</row>
    <row r="491" spans="1:62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</row>
    <row r="492" spans="1:6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</row>
    <row r="493" spans="1:62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</row>
    <row r="494" spans="1:62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</row>
    <row r="495" spans="1:62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</row>
    <row r="496" spans="1:62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</row>
    <row r="497" spans="1:62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</row>
    <row r="498" spans="1:62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</row>
    <row r="499" spans="1:62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</row>
    <row r="500" spans="1:62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</row>
    <row r="501" spans="1:62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</row>
    <row r="502" spans="1:6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</row>
    <row r="503" spans="1:62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</row>
    <row r="504" spans="1:62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</row>
    <row r="505" spans="1:62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</row>
    <row r="506" spans="1:62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</row>
    <row r="507" spans="1:62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</row>
    <row r="508" spans="1:62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</row>
    <row r="509" spans="1:62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</row>
    <row r="510" spans="1:62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</row>
    <row r="511" spans="1:62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</row>
    <row r="512" spans="1:6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</row>
    <row r="513" spans="1:62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</row>
    <row r="514" spans="1:62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</row>
    <row r="515" spans="1:62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</row>
    <row r="516" spans="1:62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</row>
    <row r="517" spans="1:62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</row>
    <row r="518" spans="1:62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</row>
    <row r="519" spans="1:62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</row>
    <row r="520" spans="1:62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</row>
    <row r="521" spans="1:62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</row>
    <row r="522" spans="1:6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</row>
    <row r="523" spans="1:62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</row>
    <row r="524" spans="1:62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</row>
    <row r="525" spans="1:62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</row>
    <row r="526" spans="1:62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</row>
    <row r="527" spans="1:62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</row>
    <row r="528" spans="1:62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</row>
    <row r="529" spans="1:62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</row>
    <row r="530" spans="1:62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</row>
    <row r="531" spans="1:62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</row>
    <row r="532" spans="1:6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</row>
    <row r="533" spans="1:62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</row>
    <row r="534" spans="1:62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</row>
    <row r="535" spans="1:62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</row>
    <row r="536" spans="1:62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</row>
    <row r="537" spans="1:62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</row>
    <row r="538" spans="1:62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</row>
    <row r="539" spans="1:62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</row>
    <row r="540" spans="1:62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</row>
    <row r="541" spans="1:62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</row>
    <row r="542" spans="1:6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</row>
    <row r="543" spans="1:62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</row>
    <row r="544" spans="1:62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</row>
    <row r="545" spans="1:62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</row>
    <row r="546" spans="1:62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</row>
    <row r="547" spans="1:62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</row>
    <row r="548" spans="1:62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</row>
    <row r="549" spans="1:62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</row>
    <row r="550" spans="1:62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</row>
    <row r="551" spans="1:62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</row>
    <row r="552" spans="1:6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</row>
    <row r="553" spans="1:62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</row>
    <row r="554" spans="1:62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</row>
    <row r="555" spans="1:62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</row>
    <row r="556" spans="1:62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</row>
    <row r="557" spans="1:62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</row>
    <row r="558" spans="1:62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</row>
    <row r="559" spans="1:62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</row>
    <row r="560" spans="1:62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</row>
    <row r="561" spans="1:62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</row>
    <row r="562" spans="1: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</row>
    <row r="563" spans="1:62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</row>
    <row r="564" spans="1:62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</row>
    <row r="565" spans="1:62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</row>
    <row r="566" spans="1:62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</row>
    <row r="567" spans="1:62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</row>
    <row r="568" spans="1:62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</row>
    <row r="569" spans="1:62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</row>
    <row r="570" spans="1:62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</row>
    <row r="571" spans="1:62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</row>
    <row r="572" spans="1:6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</row>
    <row r="573" spans="1:62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</row>
    <row r="574" spans="1:62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</row>
    <row r="575" spans="1:62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</row>
    <row r="576" spans="1:62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</row>
    <row r="577" spans="1:62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</row>
    <row r="578" spans="1:62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</row>
    <row r="579" spans="1:62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</row>
    <row r="580" spans="1:62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</row>
    <row r="581" spans="1:62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</row>
    <row r="582" spans="1:6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</row>
    <row r="583" spans="1:62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</row>
    <row r="584" spans="1:62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</row>
    <row r="585" spans="1:62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</row>
    <row r="586" spans="1:62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</row>
    <row r="587" spans="1:62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</row>
    <row r="588" spans="1:62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</row>
    <row r="589" spans="1:62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</row>
    <row r="590" spans="1:62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</row>
    <row r="591" spans="1:62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</row>
    <row r="592" spans="1:6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</row>
    <row r="593" spans="1:62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</row>
    <row r="594" spans="1:62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</row>
    <row r="595" spans="1:62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</row>
    <row r="596" spans="1:62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</row>
    <row r="597" spans="1:62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</row>
    <row r="598" spans="1:62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</row>
    <row r="599" spans="1:62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</row>
    <row r="600" spans="1:62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</row>
    <row r="601" spans="1:62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</row>
    <row r="602" spans="1:6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</row>
    <row r="603" spans="1:62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</row>
    <row r="604" spans="1:62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</row>
    <row r="605" spans="1:62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</row>
    <row r="606" spans="1:62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</row>
    <row r="607" spans="1:62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</row>
    <row r="608" spans="1:62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</row>
    <row r="609" spans="1:62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</row>
    <row r="610" spans="1:62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</row>
    <row r="611" spans="1:62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</row>
    <row r="612" spans="1:6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</row>
    <row r="613" spans="1:62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</row>
    <row r="614" spans="1:62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</row>
    <row r="615" spans="1:62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</row>
    <row r="616" spans="1:62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</row>
    <row r="617" spans="1:62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</row>
    <row r="618" spans="1:62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</row>
    <row r="619" spans="1:62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</row>
    <row r="620" spans="1:62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</row>
    <row r="621" spans="1:62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</row>
    <row r="622" spans="1:6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</row>
    <row r="623" spans="1:62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</row>
    <row r="624" spans="1:62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</row>
    <row r="625" spans="1:62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</row>
    <row r="626" spans="1:62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</row>
    <row r="627" spans="1:62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</row>
    <row r="628" spans="1:62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</row>
    <row r="629" spans="1:62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</row>
    <row r="630" spans="1:62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</row>
    <row r="631" spans="1:62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</row>
    <row r="632" spans="1:6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</row>
    <row r="633" spans="1:62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</row>
    <row r="634" spans="1:62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</row>
    <row r="635" spans="1:62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</row>
    <row r="636" spans="1:62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</row>
    <row r="637" spans="1:62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</row>
    <row r="638" spans="1:62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</row>
    <row r="639" spans="1:62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</row>
    <row r="640" spans="1:62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</row>
    <row r="641" spans="1:62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</row>
    <row r="642" spans="1:6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</row>
    <row r="643" spans="1:62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</row>
    <row r="644" spans="1:62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</row>
    <row r="645" spans="1:62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</row>
    <row r="646" spans="1:62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</row>
    <row r="647" spans="1:62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</row>
    <row r="648" spans="1:62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</row>
    <row r="649" spans="1:62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</row>
    <row r="650" spans="1:62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</row>
    <row r="651" spans="1:62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</row>
    <row r="652" spans="1:6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</row>
    <row r="653" spans="1:62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</row>
    <row r="654" spans="1:62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</row>
    <row r="655" spans="1:62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</row>
    <row r="656" spans="1:62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</row>
    <row r="657" spans="1:62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</row>
    <row r="658" spans="1:62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</row>
    <row r="659" spans="1:62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</row>
    <row r="660" spans="1:62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</row>
    <row r="661" spans="1:62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</row>
    <row r="662" spans="1: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</row>
    <row r="663" spans="1:62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</row>
    <row r="664" spans="1:62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</row>
    <row r="665" spans="1:62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</row>
    <row r="666" spans="1:62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</row>
    <row r="667" spans="1:62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</row>
    <row r="668" spans="1:62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</row>
    <row r="669" spans="1:62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</row>
    <row r="670" spans="1:62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</row>
    <row r="671" spans="1:62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</row>
    <row r="672" spans="1:6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</row>
    <row r="673" spans="1:62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</row>
    <row r="674" spans="1:62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</row>
    <row r="675" spans="1:62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</row>
    <row r="676" spans="1:62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</row>
    <row r="677" spans="1:62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</row>
    <row r="678" spans="1:62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</row>
    <row r="679" spans="1:62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</row>
    <row r="680" spans="1:62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</row>
    <row r="681" spans="1:62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</row>
    <row r="682" spans="1:6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</row>
    <row r="683" spans="1:62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</row>
    <row r="684" spans="1:62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</row>
    <row r="685" spans="1:62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</row>
    <row r="686" spans="1:62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</row>
    <row r="687" spans="1:62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</row>
    <row r="688" spans="1:62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</row>
    <row r="689" spans="1:62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</row>
    <row r="690" spans="1:62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</row>
    <row r="691" spans="1:62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</row>
    <row r="692" spans="1:6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</row>
    <row r="693" spans="1:62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</row>
    <row r="694" spans="1:62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</row>
    <row r="695" spans="1:62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</row>
    <row r="696" spans="1:62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</row>
    <row r="697" spans="1:62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</row>
    <row r="698" spans="1:62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</row>
    <row r="699" spans="1:62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</row>
    <row r="700" spans="1:62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</row>
    <row r="701" spans="1:62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</row>
    <row r="702" spans="1:6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</row>
    <row r="703" spans="1:62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</row>
    <row r="704" spans="1:62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</row>
    <row r="705" spans="1:62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</row>
    <row r="706" spans="1:62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</row>
    <row r="707" spans="1:62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</row>
    <row r="708" spans="1:62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</row>
    <row r="709" spans="1:62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</row>
    <row r="710" spans="1:62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</row>
    <row r="711" spans="1:62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</row>
    <row r="712" spans="1:6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</row>
    <row r="713" spans="1:62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</row>
    <row r="714" spans="1:62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</row>
    <row r="715" spans="1:62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</row>
    <row r="716" spans="1:62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</row>
    <row r="717" spans="1:62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</row>
    <row r="718" spans="1:62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</row>
    <row r="719" spans="1:62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</row>
    <row r="720" spans="1:62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</row>
    <row r="721" spans="1:62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</row>
    <row r="722" spans="1:6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</row>
    <row r="723" spans="1:62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</row>
    <row r="724" spans="1:62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</row>
    <row r="725" spans="1:62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</row>
    <row r="726" spans="1:62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</row>
    <row r="727" spans="1:62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</row>
    <row r="728" spans="1:62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</row>
    <row r="729" spans="1:62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</row>
    <row r="730" spans="1:62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</row>
    <row r="731" spans="1:62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</row>
    <row r="732" spans="1:6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</row>
    <row r="733" spans="1:62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</row>
    <row r="734" spans="1:62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</row>
    <row r="735" spans="1:62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</row>
    <row r="736" spans="1:62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</row>
    <row r="737" spans="1:62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</row>
    <row r="738" spans="1:62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</row>
    <row r="739" spans="1:62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</row>
    <row r="740" spans="1:62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</row>
    <row r="741" spans="1:62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</row>
    <row r="742" spans="1:6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</row>
    <row r="743" spans="1:62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</row>
    <row r="744" spans="1:62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</row>
    <row r="745" spans="1:62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</row>
    <row r="746" spans="1:62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</row>
    <row r="747" spans="1:62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</row>
    <row r="748" spans="1:62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</row>
    <row r="749" spans="1:62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</row>
    <row r="750" spans="1:62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</row>
    <row r="751" spans="1:62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</row>
    <row r="752" spans="1:6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</row>
    <row r="753" spans="1:62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</row>
    <row r="754" spans="1:62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</row>
    <row r="755" spans="1:62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</row>
    <row r="756" spans="1:62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</row>
    <row r="757" spans="1:62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</row>
    <row r="758" spans="1:62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</row>
    <row r="759" spans="1:62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</row>
    <row r="760" spans="1:62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</row>
    <row r="761" spans="1:62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</row>
    <row r="762" spans="1: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</row>
    <row r="763" spans="1:62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</row>
    <row r="764" spans="1:62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</row>
    <row r="765" spans="1:62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</row>
    <row r="766" spans="1:62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</row>
    <row r="767" spans="1:62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</row>
    <row r="768" spans="1:62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</row>
    <row r="769" spans="1:62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</row>
    <row r="770" spans="1:62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</row>
    <row r="771" spans="1:62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</row>
    <row r="772" spans="1:6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</row>
    <row r="773" spans="1:62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</row>
    <row r="774" spans="1:62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</row>
    <row r="775" spans="1:62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</row>
    <row r="776" spans="1:62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</row>
    <row r="777" spans="1:62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</row>
    <row r="778" spans="1:62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</row>
    <row r="779" spans="1:62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</row>
    <row r="780" spans="1:62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</row>
    <row r="781" spans="1:62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</row>
    <row r="782" spans="1:6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</row>
    <row r="783" spans="1:62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</row>
    <row r="784" spans="1:62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</row>
    <row r="785" spans="1:62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</row>
    <row r="786" spans="1:62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</row>
    <row r="787" spans="1:62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</row>
    <row r="788" spans="1:62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</row>
    <row r="789" spans="1:62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</row>
    <row r="790" spans="1:62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</row>
    <row r="791" spans="1:62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</row>
    <row r="792" spans="1:6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</row>
    <row r="793" spans="1:62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</row>
    <row r="794" spans="1:62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</row>
    <row r="795" spans="1:62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</row>
    <row r="796" spans="1:62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</row>
    <row r="797" spans="1:62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</row>
    <row r="798" spans="1:62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</row>
    <row r="799" spans="1:62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</row>
    <row r="800" spans="1:62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</row>
    <row r="801" spans="1:62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</row>
    <row r="802" spans="1:6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</row>
    <row r="803" spans="1:62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</row>
    <row r="804" spans="1:62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</row>
    <row r="805" spans="1:62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</row>
    <row r="806" spans="1:62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</row>
    <row r="807" spans="1:62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</row>
    <row r="808" spans="1:62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</row>
    <row r="809" spans="1:62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</row>
    <row r="810" spans="1:62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</row>
    <row r="811" spans="1:62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</row>
    <row r="812" spans="1:6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</row>
    <row r="813" spans="1:62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</row>
    <row r="814" spans="1:62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</row>
    <row r="815" spans="1:62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</row>
    <row r="816" spans="1:62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</row>
    <row r="817" spans="1:62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</row>
    <row r="818" spans="1:62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</row>
    <row r="819" spans="1:62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</row>
    <row r="820" spans="1:62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</row>
    <row r="821" spans="1:62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</row>
    <row r="822" spans="1:6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</row>
    <row r="823" spans="1:62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</row>
    <row r="824" spans="1:62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</row>
    <row r="825" spans="1:62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</row>
    <row r="826" spans="1:62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</row>
    <row r="827" spans="1:62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</row>
    <row r="828" spans="1:62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</row>
    <row r="829" spans="1:62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</row>
    <row r="830" spans="1:62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</row>
    <row r="831" spans="1:62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</row>
    <row r="832" spans="1:6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</row>
    <row r="833" spans="1:62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</row>
    <row r="834" spans="1:62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</row>
    <row r="835" spans="1:62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</row>
    <row r="836" spans="1:62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</row>
    <row r="837" spans="1:62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</row>
    <row r="838" spans="1:62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</row>
    <row r="839" spans="1:62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</row>
    <row r="840" spans="1:62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</row>
    <row r="841" spans="1:62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</row>
    <row r="842" spans="1:6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</row>
    <row r="843" spans="1:62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</row>
    <row r="844" spans="1:62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</row>
    <row r="845" spans="1:62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</row>
    <row r="846" spans="1:62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</row>
    <row r="847" spans="1:62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</row>
    <row r="848" spans="1:62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</row>
    <row r="849" spans="1:62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</row>
    <row r="850" spans="1:62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</row>
    <row r="851" spans="1:62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</row>
    <row r="852" spans="1:6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</row>
    <row r="853" spans="1:62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</row>
    <row r="854" spans="1:62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</row>
    <row r="855" spans="1:62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</row>
    <row r="856" spans="1:62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</row>
    <row r="857" spans="1:62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</row>
    <row r="858" spans="1:62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</row>
    <row r="859" spans="1:62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</row>
    <row r="860" spans="1:62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</row>
    <row r="861" spans="1:62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</row>
    <row r="862" spans="1: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</row>
    <row r="863" spans="1:62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</row>
    <row r="864" spans="1:62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</row>
    <row r="865" spans="1:62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</row>
    <row r="866" spans="1:62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</row>
    <row r="867" spans="1:62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</row>
    <row r="868" spans="1:62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</row>
    <row r="869" spans="1:62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</row>
    <row r="870" spans="1:62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</row>
    <row r="871" spans="1:62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</row>
    <row r="872" spans="1:6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</row>
    <row r="873" spans="1:62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</row>
    <row r="874" spans="1:62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</row>
    <row r="875" spans="1:62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</row>
    <row r="876" spans="1:62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</row>
    <row r="877" spans="1:62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</row>
    <row r="878" spans="1:62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</row>
    <row r="879" spans="1:62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</row>
    <row r="880" spans="1:62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</row>
    <row r="881" spans="1:62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</row>
    <row r="882" spans="1:6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</row>
    <row r="883" spans="1:62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</row>
    <row r="884" spans="1:62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</row>
    <row r="885" spans="1:62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</row>
    <row r="886" spans="1:62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</row>
    <row r="887" spans="1:62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</row>
    <row r="888" spans="1:62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</row>
    <row r="889" spans="1:62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</row>
    <row r="890" spans="1:62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</row>
    <row r="891" spans="1:62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</row>
    <row r="892" spans="1:6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</row>
    <row r="893" spans="1:62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</row>
    <row r="894" spans="1:62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</row>
    <row r="895" spans="1:62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</row>
    <row r="896" spans="1:62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</row>
    <row r="897" spans="1:62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</row>
    <row r="898" spans="1:62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</row>
    <row r="899" spans="1:62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</row>
    <row r="900" spans="1:62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</row>
    <row r="901" spans="1:62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</row>
    <row r="902" spans="1:6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</row>
    <row r="903" spans="1:62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</row>
    <row r="904" spans="1:62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</row>
    <row r="905" spans="1:62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</row>
    <row r="906" spans="1:62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</row>
    <row r="907" spans="1:62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</row>
    <row r="908" spans="1:62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</row>
    <row r="909" spans="1:62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</row>
    <row r="910" spans="1:62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</row>
    <row r="911" spans="1:62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</row>
    <row r="912" spans="1:6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</row>
    <row r="913" spans="1:62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</row>
    <row r="914" spans="1:62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</row>
    <row r="915" spans="1:62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</row>
    <row r="916" spans="1:62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</row>
    <row r="917" spans="1:62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</row>
    <row r="918" spans="1:62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</row>
    <row r="919" spans="1:62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</row>
    <row r="920" spans="1:62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</row>
    <row r="921" spans="1:62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</row>
    <row r="922" spans="1:6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</row>
    <row r="923" spans="1:62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</row>
    <row r="924" spans="1:62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</row>
    <row r="925" spans="1:62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</row>
    <row r="926" spans="1:62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</row>
    <row r="927" spans="1:62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</row>
    <row r="928" spans="1:62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</row>
    <row r="929" spans="1:62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</row>
    <row r="930" spans="1:62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</row>
    <row r="931" spans="1:62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</row>
    <row r="932" spans="1:6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</row>
    <row r="933" spans="1:62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</row>
    <row r="934" spans="1:62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</row>
    <row r="935" spans="1:62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</row>
    <row r="936" spans="1:62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</row>
    <row r="937" spans="1:62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</row>
    <row r="938" spans="1:62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</row>
    <row r="939" spans="1:62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</row>
    <row r="940" spans="1:62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</row>
    <row r="941" spans="1:62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</row>
    <row r="942" spans="1:6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</row>
    <row r="943" spans="1:62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</row>
    <row r="944" spans="1:62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</row>
    <row r="945" spans="1:62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</row>
    <row r="946" spans="1:62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</row>
    <row r="947" spans="1:62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</row>
    <row r="948" spans="1:62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</row>
    <row r="949" spans="1:62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</row>
    <row r="950" spans="1:62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</row>
    <row r="951" spans="1:62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</row>
    <row r="952" spans="1:6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</row>
    <row r="953" spans="1:62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</row>
    <row r="954" spans="1:62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</row>
    <row r="955" spans="1:62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</row>
    <row r="956" spans="1:62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</row>
    <row r="957" spans="1:62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</row>
    <row r="958" spans="1:62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</row>
    <row r="959" spans="1:62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</row>
    <row r="960" spans="1:62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</row>
    <row r="961" spans="1:62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</row>
    <row r="962" spans="1: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</row>
    <row r="963" spans="1:62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</row>
    <row r="964" spans="1:62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</row>
    <row r="965" spans="1:62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</row>
    <row r="966" spans="1:62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</row>
    <row r="967" spans="1:62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</row>
    <row r="968" spans="1:62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</row>
    <row r="969" spans="1:62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</row>
    <row r="970" spans="1:62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</row>
    <row r="971" spans="1:62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</row>
    <row r="972" spans="1:6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</row>
    <row r="973" spans="1:62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</row>
    <row r="974" spans="1:62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</row>
    <row r="975" spans="1:62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</row>
    <row r="976" spans="1:62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</row>
    <row r="977" spans="1:62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</row>
    <row r="978" spans="1:62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</row>
    <row r="979" spans="1:62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</row>
    <row r="980" spans="1:62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</row>
    <row r="981" spans="1:62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</row>
    <row r="982" spans="1:6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</row>
    <row r="983" spans="1:62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</row>
    <row r="984" spans="1:62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</row>
    <row r="985" spans="1:62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</row>
    <row r="986" spans="1:62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</row>
    <row r="987" spans="1:62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</row>
    <row r="988" spans="1:62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</row>
    <row r="989" spans="1:62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</row>
    <row r="990" spans="1:62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</row>
    <row r="991" spans="1:62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</row>
    <row r="992" spans="1:62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</row>
    <row r="993" spans="1:62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</row>
    <row r="994" spans="1:62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</row>
    <row r="995" spans="1:62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</row>
    <row r="996" spans="1:62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</row>
    <row r="997" spans="1:62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</row>
    <row r="998" spans="1:62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</row>
    <row r="999" spans="1:62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</row>
    <row r="1000" spans="1:62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</row>
  </sheetData>
  <mergeCells count="17">
    <mergeCell ref="AW1:AZ1"/>
    <mergeCell ref="BA1:BD1"/>
    <mergeCell ref="BE1:BH1"/>
    <mergeCell ref="AM3:AN3"/>
    <mergeCell ref="AP27:AR27"/>
    <mergeCell ref="AS27:AU27"/>
    <mergeCell ref="AV27:AX27"/>
    <mergeCell ref="K41:L41"/>
    <mergeCell ref="K44:L44"/>
    <mergeCell ref="K45:L45"/>
    <mergeCell ref="K28:L28"/>
    <mergeCell ref="K29:L29"/>
    <mergeCell ref="K31:L31"/>
    <mergeCell ref="K33:L33"/>
    <mergeCell ref="K35:L35"/>
    <mergeCell ref="K38:L38"/>
    <mergeCell ref="K39:L39"/>
  </mergeCells>
  <conditionalFormatting sqref="F2:F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4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4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4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4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4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4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4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4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4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4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4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4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Z4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A4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4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4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2:AD4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45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F4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:AG4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45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I4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BH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opLeftCell="AB1" zoomScale="72" workbookViewId="0">
      <pane xSplit="2" topLeftCell="AM1" activePane="topRight" state="frozen"/>
      <selection activeCell="AB1" sqref="AB1"/>
      <selection pane="topRight" activeCell="AN44" sqref="AN44"/>
    </sheetView>
  </sheetViews>
  <sheetFormatPr defaultColWidth="12.59765625" defaultRowHeight="15" customHeight="1"/>
  <cols>
    <col min="1" max="1" width="11.59765625" customWidth="1"/>
    <col min="2" max="2" width="12" customWidth="1"/>
    <col min="3" max="7" width="8.09765625" customWidth="1"/>
    <col min="8" max="8" width="16" customWidth="1"/>
    <col min="9" max="10" width="8.3984375" customWidth="1"/>
    <col min="11" max="12" width="8.8984375" customWidth="1"/>
    <col min="13" max="13" width="7.59765625" customWidth="1"/>
    <col min="14" max="14" width="8.8984375" customWidth="1"/>
    <col min="15" max="18" width="8.09765625" customWidth="1"/>
    <col min="19" max="19" width="12" customWidth="1"/>
    <col min="20" max="20" width="2.5" customWidth="1"/>
    <col min="21" max="21" width="10.8984375" customWidth="1"/>
    <col min="22" max="22" width="9.09765625" customWidth="1"/>
    <col min="23" max="29" width="7.59765625" customWidth="1"/>
    <col min="30" max="48" width="8.09765625" customWidth="1"/>
    <col min="49" max="50" width="7.19921875" customWidth="1"/>
    <col min="51" max="52" width="8.09765625" customWidth="1"/>
    <col min="53" max="53" width="17.5" customWidth="1"/>
    <col min="54" max="54" width="9.09765625" customWidth="1"/>
    <col min="55" max="55" width="7.59765625" bestFit="1" customWidth="1"/>
    <col min="56" max="57" width="7.69921875" bestFit="1" customWidth="1"/>
    <col min="58" max="58" width="8.3984375" bestFit="1" customWidth="1"/>
    <col min="59" max="59" width="7.59765625" bestFit="1" customWidth="1"/>
    <col min="60" max="61" width="7.69921875" bestFit="1" customWidth="1"/>
    <col min="62" max="62" width="8.3984375" bestFit="1" customWidth="1"/>
    <col min="63" max="63" width="7.59765625" bestFit="1" customWidth="1"/>
    <col min="64" max="65" width="7.69921875" bestFit="1" customWidth="1"/>
    <col min="66" max="66" width="8.3984375" bestFit="1" customWidth="1"/>
  </cols>
  <sheetData>
    <row r="1" spans="1:66" ht="14.25" customHeight="1">
      <c r="A1" s="1" t="s">
        <v>0</v>
      </c>
      <c r="H1" s="1" t="s">
        <v>1</v>
      </c>
      <c r="I1" s="2" t="s">
        <v>2</v>
      </c>
      <c r="T1" s="3"/>
      <c r="U1" s="4" t="s">
        <v>3</v>
      </c>
      <c r="V1" s="5" t="s">
        <v>4</v>
      </c>
      <c r="BC1" s="349" t="s">
        <v>5</v>
      </c>
      <c r="BD1" s="350"/>
      <c r="BE1" s="350"/>
      <c r="BF1" s="351"/>
      <c r="BG1" s="352" t="s">
        <v>6</v>
      </c>
      <c r="BH1" s="350"/>
      <c r="BI1" s="350"/>
      <c r="BJ1" s="351"/>
      <c r="BK1" s="353" t="s">
        <v>7</v>
      </c>
      <c r="BL1" s="350"/>
      <c r="BM1" s="350"/>
      <c r="BN1" s="351"/>
    </row>
    <row r="2" spans="1:66" ht="14.25" customHeight="1">
      <c r="T2" s="3"/>
      <c r="BA2" s="7" t="s">
        <v>8</v>
      </c>
      <c r="BB2" s="95">
        <v>43890</v>
      </c>
      <c r="BC2" s="96">
        <v>43921</v>
      </c>
      <c r="BD2" s="98">
        <v>44012</v>
      </c>
      <c r="BE2" s="98">
        <v>44104</v>
      </c>
      <c r="BF2" s="99">
        <v>44196</v>
      </c>
      <c r="BG2" s="96">
        <v>43921</v>
      </c>
      <c r="BH2" s="98">
        <v>44012</v>
      </c>
      <c r="BI2" s="98">
        <v>44104</v>
      </c>
      <c r="BJ2" s="99">
        <v>44196</v>
      </c>
      <c r="BK2" s="96">
        <v>43921</v>
      </c>
      <c r="BL2" s="98">
        <v>44012</v>
      </c>
      <c r="BM2" s="98">
        <v>44104</v>
      </c>
      <c r="BN2" s="99">
        <v>44196</v>
      </c>
    </row>
    <row r="3" spans="1:66" ht="14.25" customHeight="1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H3" s="2" t="s">
        <v>9</v>
      </c>
      <c r="I3" s="2" t="s">
        <v>11</v>
      </c>
      <c r="J3" s="2" t="s">
        <v>15</v>
      </c>
      <c r="K3" s="2" t="s">
        <v>4</v>
      </c>
      <c r="L3" s="2" t="s">
        <v>16</v>
      </c>
      <c r="N3" s="2" t="s">
        <v>9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3"/>
      <c r="U3" s="2" t="s">
        <v>9</v>
      </c>
      <c r="V3" s="9" t="s">
        <v>22</v>
      </c>
      <c r="W3" s="12" t="s">
        <v>24</v>
      </c>
      <c r="X3" s="20" t="s">
        <v>31</v>
      </c>
      <c r="BA3" s="22" t="s">
        <v>47</v>
      </c>
      <c r="BB3" s="24">
        <f>BA28</f>
        <v>1653866</v>
      </c>
      <c r="BC3" s="104">
        <f t="shared" ref="BC3:BN3" si="0">$BB$3</f>
        <v>1653866</v>
      </c>
      <c r="BD3" s="106">
        <f t="shared" si="0"/>
        <v>1653866</v>
      </c>
      <c r="BE3" s="106">
        <f t="shared" si="0"/>
        <v>1653866</v>
      </c>
      <c r="BF3" s="107">
        <f t="shared" si="0"/>
        <v>1653866</v>
      </c>
      <c r="BG3" s="104">
        <f t="shared" si="0"/>
        <v>1653866</v>
      </c>
      <c r="BH3" s="106">
        <f t="shared" si="0"/>
        <v>1653866</v>
      </c>
      <c r="BI3" s="106">
        <f t="shared" si="0"/>
        <v>1653866</v>
      </c>
      <c r="BJ3" s="107">
        <f t="shared" si="0"/>
        <v>1653866</v>
      </c>
      <c r="BK3" s="104">
        <f t="shared" si="0"/>
        <v>1653866</v>
      </c>
      <c r="BL3" s="106">
        <f t="shared" si="0"/>
        <v>1653866</v>
      </c>
      <c r="BM3" s="106">
        <f t="shared" si="0"/>
        <v>1653866</v>
      </c>
      <c r="BN3" s="107">
        <f t="shared" si="0"/>
        <v>1653866</v>
      </c>
    </row>
    <row r="4" spans="1:66" ht="14.25" customHeight="1">
      <c r="A4" s="21">
        <v>35430</v>
      </c>
      <c r="B4" s="31">
        <v>128846.42707476699</v>
      </c>
      <c r="C4" s="6">
        <v>5.8335407060261275</v>
      </c>
      <c r="H4" s="21">
        <v>36616</v>
      </c>
      <c r="I4" s="35"/>
      <c r="J4" s="37">
        <v>21.04</v>
      </c>
      <c r="K4" s="37">
        <v>21.04</v>
      </c>
      <c r="L4" s="37">
        <v>21.04</v>
      </c>
      <c r="N4" s="21">
        <v>35430</v>
      </c>
      <c r="S4" s="6">
        <f t="shared" ref="S4:S28" si="1">C4</f>
        <v>5.8335407060261275</v>
      </c>
      <c r="T4" s="3"/>
      <c r="U4" s="21">
        <v>36616</v>
      </c>
      <c r="V4" s="37">
        <v>21.04</v>
      </c>
      <c r="W4" s="37">
        <v>21.04</v>
      </c>
      <c r="X4" s="37">
        <v>21.04</v>
      </c>
      <c r="AA4" s="356" t="s">
        <v>189</v>
      </c>
      <c r="AB4" s="357"/>
      <c r="AC4" s="358"/>
      <c r="BA4" s="22" t="s">
        <v>12</v>
      </c>
      <c r="BB4" s="42">
        <f>100-BA27/BA28*100</f>
        <v>8.3426952364943645</v>
      </c>
      <c r="BC4" s="112">
        <f>V84</f>
        <v>8.3144990432344343</v>
      </c>
      <c r="BD4" s="114">
        <f>V85</f>
        <v>12.613774987784069</v>
      </c>
      <c r="BE4" s="114">
        <f>V86</f>
        <v>15.500609898586351</v>
      </c>
      <c r="BF4" s="116">
        <f>V87</f>
        <v>16.107365973375572</v>
      </c>
      <c r="BG4" s="112">
        <f>W84</f>
        <v>8.3144990432344343</v>
      </c>
      <c r="BH4" s="114">
        <f>W85</f>
        <v>12.613774987784069</v>
      </c>
      <c r="BI4" s="114">
        <f>W86</f>
        <v>14.496425006485921</v>
      </c>
      <c r="BJ4" s="116">
        <f>W87</f>
        <v>14.809541522046308</v>
      </c>
      <c r="BK4" s="112">
        <f>X84</f>
        <v>8.3144990432344343</v>
      </c>
      <c r="BL4" s="114">
        <f>X85</f>
        <v>12.613774987784069</v>
      </c>
      <c r="BM4" s="114">
        <f>X86</f>
        <v>13.663762787332463</v>
      </c>
      <c r="BN4" s="116">
        <f>X87</f>
        <v>13.713073860286137</v>
      </c>
    </row>
    <row r="5" spans="1:66" ht="14.25" customHeight="1">
      <c r="A5" s="21">
        <v>35795</v>
      </c>
      <c r="B5" s="31">
        <v>146959.89142837399</v>
      </c>
      <c r="C5" s="6">
        <v>6.7529116027906326</v>
      </c>
      <c r="H5" s="21">
        <v>36707</v>
      </c>
      <c r="I5" s="35"/>
      <c r="J5" s="37">
        <v>20.190000000000001</v>
      </c>
      <c r="K5" s="37">
        <v>20.190000000000001</v>
      </c>
      <c r="L5" s="37">
        <v>20.190000000000001</v>
      </c>
      <c r="N5" s="21">
        <v>35795</v>
      </c>
      <c r="S5" s="6">
        <f t="shared" si="1"/>
        <v>6.7529116027906326</v>
      </c>
      <c r="T5" s="3"/>
      <c r="U5" s="21">
        <v>36707</v>
      </c>
      <c r="V5" s="37">
        <v>20.190000000000001</v>
      </c>
      <c r="W5" s="37">
        <v>20.190000000000001</v>
      </c>
      <c r="X5" s="37">
        <v>20.190000000000001</v>
      </c>
      <c r="AA5" s="359" t="s">
        <v>69</v>
      </c>
      <c r="AB5" s="357"/>
      <c r="AC5" s="358"/>
      <c r="AD5" s="8">
        <v>36891</v>
      </c>
      <c r="AE5" s="8">
        <v>37256</v>
      </c>
      <c r="AF5" s="8">
        <v>37621</v>
      </c>
      <c r="AG5" s="8">
        <v>37986</v>
      </c>
      <c r="AH5" s="8">
        <v>38352</v>
      </c>
      <c r="AI5" s="8">
        <v>38717</v>
      </c>
      <c r="AJ5" s="8">
        <v>39082</v>
      </c>
      <c r="AK5" s="8">
        <v>39447</v>
      </c>
      <c r="AL5" s="8">
        <v>39813</v>
      </c>
      <c r="AM5" s="8">
        <v>40178</v>
      </c>
      <c r="AN5" s="8">
        <v>40543</v>
      </c>
      <c r="AO5" s="8">
        <v>40908</v>
      </c>
      <c r="AP5" s="8">
        <v>41274</v>
      </c>
      <c r="AQ5" s="8">
        <v>41639</v>
      </c>
      <c r="AR5" s="8">
        <v>42004</v>
      </c>
      <c r="AS5" s="8">
        <v>42369</v>
      </c>
      <c r="AT5" s="8">
        <v>42735</v>
      </c>
      <c r="AU5" s="8">
        <v>43100</v>
      </c>
      <c r="AV5" s="8">
        <v>43465</v>
      </c>
      <c r="AW5" s="8">
        <v>43555</v>
      </c>
      <c r="AX5" s="8">
        <v>43646</v>
      </c>
      <c r="AY5" s="8">
        <v>43738</v>
      </c>
      <c r="AZ5" s="8">
        <v>43830</v>
      </c>
      <c r="BA5" s="8">
        <v>43890</v>
      </c>
      <c r="BC5" s="96">
        <v>43921</v>
      </c>
      <c r="BD5" s="98">
        <v>44012</v>
      </c>
      <c r="BE5" s="98">
        <v>44104</v>
      </c>
      <c r="BF5" s="99">
        <v>44196</v>
      </c>
      <c r="BG5" s="96">
        <v>43921</v>
      </c>
      <c r="BH5" s="98">
        <v>44012</v>
      </c>
      <c r="BI5" s="98">
        <v>44104</v>
      </c>
      <c r="BJ5" s="99">
        <v>44196</v>
      </c>
      <c r="BK5" s="96">
        <v>43921</v>
      </c>
      <c r="BL5" s="98">
        <v>44012</v>
      </c>
      <c r="BM5" s="98">
        <v>44104</v>
      </c>
      <c r="BN5" s="99">
        <v>44196</v>
      </c>
    </row>
    <row r="6" spans="1:66" ht="14.25" customHeight="1">
      <c r="A6" s="21">
        <v>36160</v>
      </c>
      <c r="B6" s="31">
        <v>162054.45303423118</v>
      </c>
      <c r="C6" s="6">
        <v>2.002959820525362</v>
      </c>
      <c r="D6" s="6">
        <v>18.14</v>
      </c>
      <c r="E6" s="6"/>
      <c r="H6" s="21">
        <v>36799</v>
      </c>
      <c r="I6" s="35"/>
      <c r="J6" s="37">
        <v>21.13</v>
      </c>
      <c r="K6" s="37">
        <v>21.13</v>
      </c>
      <c r="L6" s="37">
        <v>21.13</v>
      </c>
      <c r="N6" s="21">
        <v>36160</v>
      </c>
      <c r="O6" s="6">
        <f t="shared" ref="O6:O28" si="2">D6</f>
        <v>18.14</v>
      </c>
      <c r="S6" s="6">
        <f t="shared" si="1"/>
        <v>2.002959820525362</v>
      </c>
      <c r="T6" s="3"/>
      <c r="U6" s="21">
        <v>36799</v>
      </c>
      <c r="V6" s="37">
        <v>21.13</v>
      </c>
      <c r="W6" s="37">
        <v>21.13</v>
      </c>
      <c r="X6" s="37">
        <v>21.13</v>
      </c>
      <c r="AA6" s="43" t="s">
        <v>197</v>
      </c>
      <c r="AB6" s="43" t="s">
        <v>68</v>
      </c>
      <c r="AC6" s="55"/>
      <c r="AD6" s="27">
        <v>29363</v>
      </c>
      <c r="AE6" s="27">
        <v>28689</v>
      </c>
      <c r="AF6" s="27">
        <v>27933</v>
      </c>
      <c r="AG6" s="27">
        <v>27925</v>
      </c>
      <c r="AH6" s="27">
        <v>25812</v>
      </c>
      <c r="AI6" s="27">
        <v>25166</v>
      </c>
      <c r="AJ6" s="27">
        <v>25224</v>
      </c>
      <c r="AK6" s="27">
        <v>25707</v>
      </c>
      <c r="AL6" s="27">
        <v>26402</v>
      </c>
      <c r="AM6" s="27">
        <v>25032</v>
      </c>
      <c r="AN6" s="27">
        <v>24192</v>
      </c>
      <c r="AO6" s="27">
        <v>24901</v>
      </c>
      <c r="AP6" s="27">
        <v>24903</v>
      </c>
      <c r="AQ6" s="27">
        <v>22515</v>
      </c>
      <c r="AR6" s="27">
        <v>21982</v>
      </c>
      <c r="AS6" s="27">
        <v>21988</v>
      </c>
      <c r="AT6" s="27">
        <v>22442</v>
      </c>
      <c r="AU6" s="27">
        <v>24073</v>
      </c>
      <c r="AV6" s="27">
        <v>23896</v>
      </c>
      <c r="AW6" s="27">
        <v>23429</v>
      </c>
      <c r="AX6" s="27">
        <v>23992</v>
      </c>
      <c r="AY6" s="27">
        <v>25565</v>
      </c>
      <c r="AZ6" s="27">
        <v>25256</v>
      </c>
      <c r="BA6" s="27">
        <v>24591</v>
      </c>
      <c r="BC6" s="119">
        <f t="shared" ref="BC6:BC26" si="3">$BA6</f>
        <v>24591</v>
      </c>
      <c r="BD6" s="120">
        <f t="shared" ref="BD6:BD18" si="4">(BD$27-SUM(BD$20:BD$22))/(BC$27-SUM(BC$20:BC$22))*BC6</f>
        <v>23118.18255543333</v>
      </c>
      <c r="BE6" s="120">
        <f t="shared" ref="BE6:BF6" si="5">(BE$27-SUM(BE$20:BE$22))/(BD$27-SUM(BD$20:BD$22))*BD6</f>
        <v>22129.229794305305</v>
      </c>
      <c r="BF6" s="121">
        <f t="shared" si="5"/>
        <v>21921.37132160613</v>
      </c>
      <c r="BG6" s="119">
        <f t="shared" ref="BG6:BG19" si="6">$BA6</f>
        <v>24591</v>
      </c>
      <c r="BH6" s="120">
        <f t="shared" ref="BH6:BJ6" si="7">(BH$27-SUM(BH$20:BH$22))/(BG$27-SUM(BG$20:BG$22))*BG6</f>
        <v>23118.18255543333</v>
      </c>
      <c r="BI6" s="120">
        <f t="shared" si="7"/>
        <v>22473.236795886758</v>
      </c>
      <c r="BJ6" s="121">
        <f t="shared" si="7"/>
        <v>22365.97141626303</v>
      </c>
      <c r="BK6" s="119">
        <f t="shared" ref="BK6:BK19" si="8">$BA6</f>
        <v>24591</v>
      </c>
      <c r="BL6" s="120">
        <f t="shared" ref="BL6:BN6" si="9">(BL$27-SUM(BL$20:BL$22))/(BK$27-SUM(BK$20:BK$22))*BK6</f>
        <v>23118.18255543333</v>
      </c>
      <c r="BM6" s="120">
        <f t="shared" si="9"/>
        <v>22758.484697537624</v>
      </c>
      <c r="BN6" s="121">
        <f t="shared" si="9"/>
        <v>22741.592037147097</v>
      </c>
    </row>
    <row r="7" spans="1:66" ht="14.25" customHeight="1">
      <c r="A7" s="21">
        <v>36525</v>
      </c>
      <c r="B7" s="31">
        <v>166417.2108183543</v>
      </c>
      <c r="C7" s="6">
        <v>-0.81778934042826279</v>
      </c>
      <c r="D7" s="6">
        <v>20.399999999999999</v>
      </c>
      <c r="E7" s="6">
        <v>2.259999999999998</v>
      </c>
      <c r="F7" s="6">
        <f t="shared" ref="F7:F27" si="10">($B$33+$B$34*C7)+D6</f>
        <v>18.806334269428827</v>
      </c>
      <c r="G7" s="6"/>
      <c r="H7" s="21">
        <v>36891</v>
      </c>
      <c r="I7" s="35"/>
      <c r="J7" s="37">
        <v>22.27</v>
      </c>
      <c r="K7" s="37">
        <v>22.27</v>
      </c>
      <c r="L7" s="37">
        <v>22.27</v>
      </c>
      <c r="N7" s="21">
        <v>36525</v>
      </c>
      <c r="O7" s="6">
        <f t="shared" si="2"/>
        <v>20.399999999999999</v>
      </c>
      <c r="S7" s="6">
        <f t="shared" si="1"/>
        <v>-0.81778934042826279</v>
      </c>
      <c r="T7" s="3"/>
      <c r="U7" s="21">
        <v>36891</v>
      </c>
      <c r="V7" s="37">
        <v>22.27</v>
      </c>
      <c r="W7" s="37">
        <v>22.27</v>
      </c>
      <c r="X7" s="37">
        <v>22.27</v>
      </c>
      <c r="AA7" s="43" t="s">
        <v>73</v>
      </c>
      <c r="AB7" s="43" t="s">
        <v>74</v>
      </c>
      <c r="AC7" s="55"/>
      <c r="AD7" s="27">
        <v>8070</v>
      </c>
      <c r="AE7" s="27">
        <v>7718</v>
      </c>
      <c r="AF7" s="27">
        <v>6924</v>
      </c>
      <c r="AG7" s="27">
        <v>8189</v>
      </c>
      <c r="AH7" s="27">
        <v>8041</v>
      </c>
      <c r="AI7" s="27">
        <v>8167</v>
      </c>
      <c r="AJ7" s="27">
        <v>8578</v>
      </c>
      <c r="AK7" s="27">
        <v>8352</v>
      </c>
      <c r="AL7" s="27">
        <v>8896</v>
      </c>
      <c r="AM7" s="27">
        <v>8263</v>
      </c>
      <c r="AN7" s="27">
        <v>6729</v>
      </c>
      <c r="AO7" s="27">
        <v>6133</v>
      </c>
      <c r="AP7" s="27">
        <v>5493</v>
      </c>
      <c r="AQ7" s="27">
        <v>5368</v>
      </c>
      <c r="AR7" s="27">
        <v>5174</v>
      </c>
      <c r="AS7" s="27">
        <v>4928</v>
      </c>
      <c r="AT7" s="27">
        <v>4263</v>
      </c>
      <c r="AU7" s="27">
        <v>4358</v>
      </c>
      <c r="AV7" s="27">
        <v>4212</v>
      </c>
      <c r="AW7" s="27">
        <v>4181</v>
      </c>
      <c r="AX7" s="27">
        <v>4227</v>
      </c>
      <c r="AY7" s="27">
        <v>4168</v>
      </c>
      <c r="AZ7" s="27">
        <v>4176</v>
      </c>
      <c r="BA7" s="27">
        <v>4085</v>
      </c>
      <c r="BC7" s="119">
        <f t="shared" si="3"/>
        <v>4085</v>
      </c>
      <c r="BD7" s="120">
        <f t="shared" si="4"/>
        <v>3840.3389751919462</v>
      </c>
      <c r="BE7" s="120">
        <f t="shared" ref="BE7:BF7" si="11">(BE$27-SUM(BE$20:BE$22))/(BD$27-SUM(BD$20:BD$22))*BD7</f>
        <v>3676.056431610637</v>
      </c>
      <c r="BF7" s="121">
        <f t="shared" si="11"/>
        <v>3641.5274632491987</v>
      </c>
      <c r="BG7" s="119">
        <f t="shared" si="6"/>
        <v>4085</v>
      </c>
      <c r="BH7" s="120">
        <f t="shared" ref="BH7:BJ7" si="12">(BH$27-SUM(BH$20:BH$22))/(BG$27-SUM(BG$20:BG$22))*BG7</f>
        <v>3840.3389751919462</v>
      </c>
      <c r="BI7" s="120">
        <f t="shared" si="12"/>
        <v>3733.2020784513606</v>
      </c>
      <c r="BJ7" s="121">
        <f t="shared" si="12"/>
        <v>3715.3834018720054</v>
      </c>
      <c r="BK7" s="119">
        <f t="shared" si="8"/>
        <v>4085</v>
      </c>
      <c r="BL7" s="120">
        <f t="shared" ref="BL7:BN7" si="13">(BL$27-SUM(BL$20:BL$22))/(BK$27-SUM(BK$20:BK$22))*BK7</f>
        <v>3840.3389751919462</v>
      </c>
      <c r="BM7" s="120">
        <f t="shared" si="13"/>
        <v>3780.5867996194215</v>
      </c>
      <c r="BN7" s="121">
        <f t="shared" si="13"/>
        <v>3777.7806299762469</v>
      </c>
    </row>
    <row r="8" spans="1:66" ht="14.25" customHeight="1">
      <c r="A8" s="21">
        <v>36891</v>
      </c>
      <c r="B8" s="31">
        <v>179370.80096320104</v>
      </c>
      <c r="C8" s="6">
        <v>3.2785997299455998</v>
      </c>
      <c r="D8" s="6">
        <v>22.27</v>
      </c>
      <c r="E8" s="6">
        <v>1.870000000000001</v>
      </c>
      <c r="F8" s="6">
        <f t="shared" si="10"/>
        <v>19.317585775286222</v>
      </c>
      <c r="G8" s="6"/>
      <c r="H8" s="21">
        <v>36981</v>
      </c>
      <c r="I8" s="35">
        <v>3.1835925459392485</v>
      </c>
      <c r="J8" s="37">
        <v>22.57</v>
      </c>
      <c r="K8" s="37">
        <v>22.57</v>
      </c>
      <c r="L8" s="37">
        <v>22.57</v>
      </c>
      <c r="N8" s="21">
        <v>36891</v>
      </c>
      <c r="O8" s="6">
        <f t="shared" si="2"/>
        <v>22.27</v>
      </c>
      <c r="P8" s="6">
        <f t="shared" ref="P8:P28" si="14">VLOOKUP(N8,$H$4:$L$87,3,FALSE)</f>
        <v>22.27</v>
      </c>
      <c r="Q8" s="6">
        <f t="shared" ref="Q8:Q28" si="15">VLOOKUP(N8,$H$4:$L$87,4,FALSE)</f>
        <v>22.27</v>
      </c>
      <c r="R8" s="6">
        <f t="shared" ref="R8:R28" si="16">VLOOKUP(N8,$H$4:$L$87,5,FALSE)</f>
        <v>22.27</v>
      </c>
      <c r="S8" s="6">
        <f t="shared" si="1"/>
        <v>3.2785997299455998</v>
      </c>
      <c r="T8" s="3"/>
      <c r="U8" s="21">
        <v>36981</v>
      </c>
      <c r="V8" s="37">
        <v>22.57</v>
      </c>
      <c r="W8" s="37">
        <v>22.57</v>
      </c>
      <c r="X8" s="37">
        <v>22.57</v>
      </c>
      <c r="AA8" s="43" t="s">
        <v>78</v>
      </c>
      <c r="AB8" s="43" t="s">
        <v>85</v>
      </c>
      <c r="AC8" s="55"/>
      <c r="AD8" s="27">
        <v>244311</v>
      </c>
      <c r="AE8" s="27">
        <v>241971</v>
      </c>
      <c r="AF8" s="27">
        <v>235428</v>
      </c>
      <c r="AG8" s="27">
        <v>237826</v>
      </c>
      <c r="AH8" s="27">
        <v>236157</v>
      </c>
      <c r="AI8" s="27">
        <v>233243</v>
      </c>
      <c r="AJ8" s="27">
        <v>240565</v>
      </c>
      <c r="AK8" s="27">
        <v>246637</v>
      </c>
      <c r="AL8" s="27">
        <v>244579</v>
      </c>
      <c r="AM8" s="27">
        <v>223663</v>
      </c>
      <c r="AN8" s="27">
        <v>216380</v>
      </c>
      <c r="AO8" s="27">
        <v>211035</v>
      </c>
      <c r="AP8" s="27">
        <v>201512</v>
      </c>
      <c r="AQ8" s="27">
        <v>198762</v>
      </c>
      <c r="AR8" s="27">
        <v>195597</v>
      </c>
      <c r="AS8" s="27">
        <v>209212</v>
      </c>
      <c r="AT8" s="27">
        <v>223485</v>
      </c>
      <c r="AU8" s="27">
        <v>232168</v>
      </c>
      <c r="AV8" s="27">
        <v>234417</v>
      </c>
      <c r="AW8" s="27">
        <v>232041</v>
      </c>
      <c r="AX8" s="27">
        <v>234470</v>
      </c>
      <c r="AY8" s="27">
        <v>232474</v>
      </c>
      <c r="AZ8" s="27">
        <v>231860</v>
      </c>
      <c r="BA8" s="27">
        <v>226738</v>
      </c>
      <c r="BC8" s="119">
        <f t="shared" si="3"/>
        <v>226738</v>
      </c>
      <c r="BD8" s="120">
        <f t="shared" si="4"/>
        <v>213158.08532608851</v>
      </c>
      <c r="BE8" s="120">
        <f t="shared" ref="BE8:BF8" si="17">(BE$27-SUM(BE$20:BE$22))/(BD$27-SUM(BD$20:BD$22))*BD8</f>
        <v>204039.57972840455</v>
      </c>
      <c r="BF8" s="121">
        <f t="shared" si="17"/>
        <v>202123.04870555614</v>
      </c>
      <c r="BG8" s="119">
        <f t="shared" si="6"/>
        <v>226738</v>
      </c>
      <c r="BH8" s="120">
        <f t="shared" ref="BH8:BJ8" si="18">(BH$27-SUM(BH$20:BH$22))/(BG$27-SUM(BG$20:BG$22))*BG8</f>
        <v>213158.08532608851</v>
      </c>
      <c r="BI8" s="120">
        <f t="shared" si="18"/>
        <v>207211.44990548462</v>
      </c>
      <c r="BJ8" s="121">
        <f t="shared" si="18"/>
        <v>206222.42393479921</v>
      </c>
      <c r="BK8" s="119">
        <f t="shared" si="8"/>
        <v>226738</v>
      </c>
      <c r="BL8" s="120">
        <f t="shared" ref="BL8:BN8" si="19">(BL$27-SUM(BL$20:BL$22))/(BK$27-SUM(BK$20:BK$22))*BK8</f>
        <v>213158.08532608851</v>
      </c>
      <c r="BM8" s="120">
        <f t="shared" si="19"/>
        <v>209841.53972389436</v>
      </c>
      <c r="BN8" s="121">
        <f t="shared" si="19"/>
        <v>209685.78322632908</v>
      </c>
    </row>
    <row r="9" spans="1:66" ht="14.25" customHeight="1">
      <c r="A9" s="21">
        <v>37256</v>
      </c>
      <c r="B9" s="31">
        <v>193354.25952103516</v>
      </c>
      <c r="C9" s="6">
        <v>3.3469386057616362</v>
      </c>
      <c r="D9" s="6">
        <v>22.77</v>
      </c>
      <c r="E9" s="6">
        <v>0.5</v>
      </c>
      <c r="F9" s="6">
        <f t="shared" si="10"/>
        <v>21.158411909200357</v>
      </c>
      <c r="G9" s="6"/>
      <c r="H9" s="21">
        <v>37072</v>
      </c>
      <c r="I9" s="35">
        <v>4.6646066112930384</v>
      </c>
      <c r="J9" s="37">
        <v>21.17</v>
      </c>
      <c r="K9" s="37">
        <v>21.17</v>
      </c>
      <c r="L9" s="37">
        <v>21.17</v>
      </c>
      <c r="N9" s="21">
        <v>37256</v>
      </c>
      <c r="O9" s="6">
        <f t="shared" si="2"/>
        <v>22.77</v>
      </c>
      <c r="P9" s="6">
        <f t="shared" si="14"/>
        <v>22.77</v>
      </c>
      <c r="Q9" s="6">
        <f t="shared" si="15"/>
        <v>22.77</v>
      </c>
      <c r="R9" s="6">
        <f t="shared" si="16"/>
        <v>22.77</v>
      </c>
      <c r="S9" s="6">
        <f t="shared" si="1"/>
        <v>3.3469386057616362</v>
      </c>
      <c r="T9" s="3"/>
      <c r="U9" s="21">
        <v>37072</v>
      </c>
      <c r="V9" s="37">
        <v>21.17</v>
      </c>
      <c r="W9" s="37">
        <v>21.17</v>
      </c>
      <c r="X9" s="37">
        <v>21.17</v>
      </c>
      <c r="AA9" s="43" t="s">
        <v>89</v>
      </c>
      <c r="AB9" s="43" t="s">
        <v>90</v>
      </c>
      <c r="AC9" s="55"/>
      <c r="AD9" s="27">
        <v>18233</v>
      </c>
      <c r="AE9" s="27">
        <v>18062</v>
      </c>
      <c r="AF9" s="27">
        <v>17463</v>
      </c>
      <c r="AG9" s="27">
        <v>17500</v>
      </c>
      <c r="AH9" s="27">
        <v>17566</v>
      </c>
      <c r="AI9" s="27">
        <v>17464</v>
      </c>
      <c r="AJ9" s="27">
        <v>17136</v>
      </c>
      <c r="AK9" s="27">
        <v>16902</v>
      </c>
      <c r="AL9" s="27">
        <v>16899</v>
      </c>
      <c r="AM9" s="27">
        <v>16765</v>
      </c>
      <c r="AN9" s="27">
        <v>16484</v>
      </c>
      <c r="AO9" s="27">
        <v>16568</v>
      </c>
      <c r="AP9" s="27">
        <v>16425</v>
      </c>
      <c r="AQ9" s="27">
        <v>14625</v>
      </c>
      <c r="AR9" s="27">
        <v>14663</v>
      </c>
      <c r="AS9" s="27">
        <v>13965</v>
      </c>
      <c r="AT9" s="27">
        <v>14282</v>
      </c>
      <c r="AU9" s="27">
        <v>14983</v>
      </c>
      <c r="AV9" s="27">
        <v>13242</v>
      </c>
      <c r="AW9" s="27">
        <v>13790</v>
      </c>
      <c r="AX9" s="27">
        <v>13996</v>
      </c>
      <c r="AY9" s="27">
        <v>14029</v>
      </c>
      <c r="AZ9" s="27">
        <v>14167</v>
      </c>
      <c r="BA9" s="27">
        <v>14216</v>
      </c>
      <c r="BC9" s="119">
        <f t="shared" si="3"/>
        <v>14216</v>
      </c>
      <c r="BD9" s="120">
        <f t="shared" si="4"/>
        <v>13364.567655160026</v>
      </c>
      <c r="BE9" s="120">
        <f t="shared" ref="BE9:BF9" si="20">(BE$27-SUM(BE$20:BE$22))/(BD$27-SUM(BD$20:BD$22))*BD9</f>
        <v>12792.856360288082</v>
      </c>
      <c r="BF9" s="121">
        <f t="shared" si="20"/>
        <v>12672.693859865511</v>
      </c>
      <c r="BG9" s="119">
        <f t="shared" si="6"/>
        <v>14216</v>
      </c>
      <c r="BH9" s="120">
        <f t="shared" ref="BH9:BJ9" si="21">(BH$27-SUM(BH$20:BH$22))/(BG$27-SUM(BG$20:BG$22))*BG9</f>
        <v>13364.567655160026</v>
      </c>
      <c r="BI9" s="120">
        <f t="shared" si="21"/>
        <v>12991.726009122287</v>
      </c>
      <c r="BJ9" s="121">
        <f t="shared" si="21"/>
        <v>12929.716142230704</v>
      </c>
      <c r="BK9" s="119">
        <f t="shared" si="8"/>
        <v>14216</v>
      </c>
      <c r="BL9" s="120">
        <f t="shared" ref="BL9:BN9" si="22">(BL$27-SUM(BL$20:BL$22))/(BK$27-SUM(BK$20:BK$22))*BK9</f>
        <v>13364.567655160026</v>
      </c>
      <c r="BM9" s="120">
        <f t="shared" si="22"/>
        <v>13156.627158724526</v>
      </c>
      <c r="BN9" s="121">
        <f t="shared" si="22"/>
        <v>13146.861550977312</v>
      </c>
    </row>
    <row r="10" spans="1:66" ht="14.25" customHeight="1">
      <c r="A10" s="21">
        <v>37621</v>
      </c>
      <c r="B10" s="31">
        <v>211085.30450217656</v>
      </c>
      <c r="C10" s="6">
        <v>5.1158304466971742</v>
      </c>
      <c r="D10" s="6">
        <v>21.32</v>
      </c>
      <c r="E10" s="6">
        <v>-1.4499999999999993</v>
      </c>
      <c r="F10" s="6">
        <f t="shared" si="10"/>
        <v>20.903271982304975</v>
      </c>
      <c r="G10" s="6"/>
      <c r="H10" s="21">
        <v>37164</v>
      </c>
      <c r="I10" s="35">
        <v>3.1866120072348281</v>
      </c>
      <c r="J10" s="37">
        <v>21.67</v>
      </c>
      <c r="K10" s="37">
        <v>21.67</v>
      </c>
      <c r="L10" s="37">
        <v>21.67</v>
      </c>
      <c r="N10" s="21">
        <v>37621</v>
      </c>
      <c r="O10" s="6">
        <f t="shared" si="2"/>
        <v>21.32</v>
      </c>
      <c r="P10" s="6">
        <f t="shared" si="14"/>
        <v>21.32</v>
      </c>
      <c r="Q10" s="6">
        <f t="shared" si="15"/>
        <v>21.32</v>
      </c>
      <c r="R10" s="6">
        <f t="shared" si="16"/>
        <v>21.32</v>
      </c>
      <c r="S10" s="6">
        <f t="shared" si="1"/>
        <v>5.1158304466971742</v>
      </c>
      <c r="T10" s="3"/>
      <c r="U10" s="21">
        <v>37164</v>
      </c>
      <c r="V10" s="37">
        <v>21.67</v>
      </c>
      <c r="W10" s="37">
        <v>21.67</v>
      </c>
      <c r="X10" s="37">
        <v>21.67</v>
      </c>
      <c r="AA10" s="43" t="s">
        <v>93</v>
      </c>
      <c r="AB10" s="43" t="s">
        <v>100</v>
      </c>
      <c r="AC10" s="55"/>
      <c r="AD10" s="27">
        <v>16568</v>
      </c>
      <c r="AE10" s="27">
        <v>16918</v>
      </c>
      <c r="AF10" s="27">
        <v>17215</v>
      </c>
      <c r="AG10" s="27">
        <v>17531</v>
      </c>
      <c r="AH10" s="27">
        <v>18398</v>
      </c>
      <c r="AI10" s="27">
        <v>19043</v>
      </c>
      <c r="AJ10" s="27">
        <v>20158</v>
      </c>
      <c r="AK10" s="27">
        <v>20800</v>
      </c>
      <c r="AL10" s="27">
        <v>21790</v>
      </c>
      <c r="AM10" s="27">
        <v>21184</v>
      </c>
      <c r="AN10" s="27">
        <v>22053</v>
      </c>
      <c r="AO10" s="27">
        <v>22145</v>
      </c>
      <c r="AP10" s="27">
        <v>22272</v>
      </c>
      <c r="AQ10" s="27">
        <v>21340</v>
      </c>
      <c r="AR10" s="27">
        <v>20671</v>
      </c>
      <c r="AS10" s="27">
        <v>24040</v>
      </c>
      <c r="AT10" s="27">
        <v>24916</v>
      </c>
      <c r="AU10" s="27">
        <v>26924</v>
      </c>
      <c r="AV10" s="27">
        <v>25638</v>
      </c>
      <c r="AW10" s="27">
        <v>25284</v>
      </c>
      <c r="AX10" s="27">
        <v>25951</v>
      </c>
      <c r="AY10" s="27">
        <v>26443</v>
      </c>
      <c r="AZ10" s="27">
        <v>26039</v>
      </c>
      <c r="BA10" s="27">
        <v>25596</v>
      </c>
      <c r="BC10" s="119">
        <f t="shared" si="3"/>
        <v>25596</v>
      </c>
      <c r="BD10" s="120">
        <f t="shared" si="4"/>
        <v>24062.990553001971</v>
      </c>
      <c r="BE10" s="120">
        <f t="shared" ref="BE10:BF10" si="23">(BE$27-SUM(BE$20:BE$22))/(BD$27-SUM(BD$20:BD$22))*BD10</f>
        <v>23033.620666708903</v>
      </c>
      <c r="BF10" s="121">
        <f t="shared" si="23"/>
        <v>22817.267307056671</v>
      </c>
      <c r="BG10" s="119">
        <f t="shared" si="6"/>
        <v>25596</v>
      </c>
      <c r="BH10" s="120">
        <f t="shared" ref="BH10:BJ10" si="24">(BH$27-SUM(BH$20:BH$22))/(BG$27-SUM(BG$20:BG$22))*BG10</f>
        <v>24062.990553001971</v>
      </c>
      <c r="BI10" s="120">
        <f t="shared" si="24"/>
        <v>23391.686756435993</v>
      </c>
      <c r="BJ10" s="121">
        <f t="shared" si="24"/>
        <v>23280.037589795804</v>
      </c>
      <c r="BK10" s="119">
        <f t="shared" si="8"/>
        <v>25596</v>
      </c>
      <c r="BL10" s="120">
        <f t="shared" ref="BL10:BN10" si="25">(BL$27-SUM(BL$20:BL$22))/(BK$27-SUM(BK$20:BK$22))*BK10</f>
        <v>24062.990553001971</v>
      </c>
      <c r="BM10" s="120">
        <f t="shared" si="25"/>
        <v>23688.592343466022</v>
      </c>
      <c r="BN10" s="121">
        <f t="shared" si="25"/>
        <v>23671.009303518236</v>
      </c>
    </row>
    <row r="11" spans="1:66" ht="14.25" customHeight="1">
      <c r="A11" s="21">
        <v>37986</v>
      </c>
      <c r="B11" s="31">
        <v>232573.32361252027</v>
      </c>
      <c r="C11" s="6">
        <v>5.640321016589624</v>
      </c>
      <c r="D11" s="6">
        <v>18.670000000000002</v>
      </c>
      <c r="E11" s="6">
        <v>-2.6499999999999986</v>
      </c>
      <c r="F11" s="6">
        <f t="shared" si="10"/>
        <v>19.229366958017891</v>
      </c>
      <c r="G11" s="6"/>
      <c r="H11" s="21">
        <v>37256</v>
      </c>
      <c r="I11" s="35">
        <v>2.3662516308528154</v>
      </c>
      <c r="J11" s="37">
        <v>22.77</v>
      </c>
      <c r="K11" s="37">
        <v>22.77</v>
      </c>
      <c r="L11" s="37">
        <v>22.77</v>
      </c>
      <c r="N11" s="21">
        <v>37986</v>
      </c>
      <c r="O11" s="6">
        <f t="shared" si="2"/>
        <v>18.670000000000002</v>
      </c>
      <c r="P11" s="6">
        <f t="shared" si="14"/>
        <v>18.670000000000002</v>
      </c>
      <c r="Q11" s="6">
        <f t="shared" si="15"/>
        <v>18.670000000000002</v>
      </c>
      <c r="R11" s="6">
        <f t="shared" si="16"/>
        <v>18.670000000000002</v>
      </c>
      <c r="S11" s="6">
        <f t="shared" si="1"/>
        <v>5.640321016589624</v>
      </c>
      <c r="T11" s="3"/>
      <c r="U11" s="21">
        <v>37256</v>
      </c>
      <c r="V11" s="37">
        <v>22.77</v>
      </c>
      <c r="W11" s="37">
        <v>22.77</v>
      </c>
      <c r="X11" s="37">
        <v>22.77</v>
      </c>
      <c r="AA11" s="43" t="s">
        <v>101</v>
      </c>
      <c r="AB11" s="43" t="s">
        <v>102</v>
      </c>
      <c r="AC11" s="55"/>
      <c r="AD11" s="27">
        <v>63673</v>
      </c>
      <c r="AE11" s="27">
        <v>66418</v>
      </c>
      <c r="AF11" s="27">
        <v>74780</v>
      </c>
      <c r="AG11" s="27">
        <v>78515</v>
      </c>
      <c r="AH11" s="27">
        <v>81238</v>
      </c>
      <c r="AI11" s="27">
        <v>86601</v>
      </c>
      <c r="AJ11" s="27">
        <v>95947</v>
      </c>
      <c r="AK11" s="27">
        <v>101216</v>
      </c>
      <c r="AL11" s="27">
        <v>108908</v>
      </c>
      <c r="AM11" s="27">
        <v>99410</v>
      </c>
      <c r="AN11" s="27">
        <v>86253</v>
      </c>
      <c r="AO11" s="27">
        <v>82837</v>
      </c>
      <c r="AP11" s="27">
        <v>75797</v>
      </c>
      <c r="AQ11" s="27">
        <v>71541</v>
      </c>
      <c r="AR11" s="27">
        <v>70921</v>
      </c>
      <c r="AS11" s="27">
        <v>71131</v>
      </c>
      <c r="AT11" s="27">
        <v>79488</v>
      </c>
      <c r="AU11" s="27">
        <v>83496</v>
      </c>
      <c r="AV11" s="27">
        <v>88316</v>
      </c>
      <c r="AW11" s="27">
        <v>90572</v>
      </c>
      <c r="AX11" s="27">
        <v>95070</v>
      </c>
      <c r="AY11" s="27">
        <v>95028</v>
      </c>
      <c r="AZ11" s="27">
        <v>96848</v>
      </c>
      <c r="BA11" s="27">
        <v>93819</v>
      </c>
      <c r="BC11" s="119">
        <f t="shared" si="3"/>
        <v>93819</v>
      </c>
      <c r="BD11" s="120">
        <f t="shared" si="4"/>
        <v>88199.941814818405</v>
      </c>
      <c r="BE11" s="120">
        <f t="shared" ref="BE11:BF11" si="26">(BE$27-SUM(BE$20:BE$22))/(BD$27-SUM(BD$20:BD$22))*BD11</f>
        <v>84426.912694560175</v>
      </c>
      <c r="BF11" s="121">
        <f t="shared" si="26"/>
        <v>83633.895979088498</v>
      </c>
      <c r="BG11" s="119">
        <f t="shared" si="6"/>
        <v>93819</v>
      </c>
      <c r="BH11" s="120">
        <f t="shared" ref="BH11:BJ11" si="27">(BH$27-SUM(BH$20:BH$22))/(BG$27-SUM(BG$20:BG$22))*BG11</f>
        <v>88199.941814818405</v>
      </c>
      <c r="BI11" s="120">
        <f t="shared" si="27"/>
        <v>85739.360048525865</v>
      </c>
      <c r="BJ11" s="121">
        <f t="shared" si="27"/>
        <v>85330.123716090486</v>
      </c>
      <c r="BK11" s="119">
        <f t="shared" si="8"/>
        <v>93819</v>
      </c>
      <c r="BL11" s="120">
        <f t="shared" ref="BL11:BN11" si="28">(BL$27-SUM(BL$20:BL$22))/(BK$27-SUM(BK$20:BK$22))*BK11</f>
        <v>88199.941814818405</v>
      </c>
      <c r="BM11" s="120">
        <f t="shared" si="28"/>
        <v>86827.631077966827</v>
      </c>
      <c r="BN11" s="121">
        <f t="shared" si="28"/>
        <v>86763.182600671105</v>
      </c>
    </row>
    <row r="12" spans="1:66" ht="14.25" customHeight="1">
      <c r="A12" s="21">
        <v>38352</v>
      </c>
      <c r="B12" s="31">
        <v>250993.23225803146</v>
      </c>
      <c r="C12" s="6">
        <v>4.1603675668260962</v>
      </c>
      <c r="D12" s="6">
        <v>18.52</v>
      </c>
      <c r="E12" s="6">
        <v>-0.15000000000000213</v>
      </c>
      <c r="F12" s="6">
        <f t="shared" si="10"/>
        <v>17.211159085721942</v>
      </c>
      <c r="G12" s="6"/>
      <c r="H12" s="21">
        <v>37346</v>
      </c>
      <c r="I12" s="35">
        <v>5.7611197003427463</v>
      </c>
      <c r="J12" s="37">
        <v>23.61</v>
      </c>
      <c r="K12" s="37">
        <v>23.61</v>
      </c>
      <c r="L12" s="37">
        <v>23.61</v>
      </c>
      <c r="N12" s="21">
        <v>38352</v>
      </c>
      <c r="O12" s="6">
        <f t="shared" si="2"/>
        <v>18.52</v>
      </c>
      <c r="P12" s="6">
        <f t="shared" si="14"/>
        <v>18.52</v>
      </c>
      <c r="Q12" s="6">
        <f t="shared" si="15"/>
        <v>18.52</v>
      </c>
      <c r="R12" s="6">
        <f t="shared" si="16"/>
        <v>18.52</v>
      </c>
      <c r="S12" s="6">
        <f t="shared" si="1"/>
        <v>4.1603675668260962</v>
      </c>
      <c r="T12" s="3"/>
      <c r="U12" s="21">
        <v>37346</v>
      </c>
      <c r="V12" s="37">
        <v>23.61</v>
      </c>
      <c r="W12" s="37">
        <v>23.61</v>
      </c>
      <c r="X12" s="37">
        <v>23.61</v>
      </c>
      <c r="AA12" s="43" t="s">
        <v>105</v>
      </c>
      <c r="AB12" s="43" t="s">
        <v>111</v>
      </c>
      <c r="AC12" s="55"/>
      <c r="AD12" s="27">
        <v>148908</v>
      </c>
      <c r="AE12" s="27">
        <v>159991</v>
      </c>
      <c r="AF12" s="27">
        <v>166200</v>
      </c>
      <c r="AG12" s="27">
        <v>177598</v>
      </c>
      <c r="AH12" s="27">
        <v>185190</v>
      </c>
      <c r="AI12" s="27">
        <v>191243</v>
      </c>
      <c r="AJ12" s="27">
        <v>203941</v>
      </c>
      <c r="AK12" s="27">
        <v>218073</v>
      </c>
      <c r="AL12" s="27">
        <v>222929</v>
      </c>
      <c r="AM12" s="27">
        <v>195797</v>
      </c>
      <c r="AN12" s="27">
        <v>185736</v>
      </c>
      <c r="AO12" s="27">
        <v>184422</v>
      </c>
      <c r="AP12" s="27">
        <v>181755</v>
      </c>
      <c r="AQ12" s="27">
        <v>175707</v>
      </c>
      <c r="AR12" s="27">
        <v>176616</v>
      </c>
      <c r="AS12" s="27">
        <v>186678</v>
      </c>
      <c r="AT12" s="27">
        <v>199197</v>
      </c>
      <c r="AU12" s="27">
        <v>203569</v>
      </c>
      <c r="AV12" s="27">
        <v>204147</v>
      </c>
      <c r="AW12" s="27">
        <v>205089</v>
      </c>
      <c r="AX12" s="27">
        <v>209694</v>
      </c>
      <c r="AY12" s="27">
        <v>210871</v>
      </c>
      <c r="AZ12" s="27">
        <v>208680</v>
      </c>
      <c r="BA12" s="27">
        <v>204411</v>
      </c>
      <c r="BC12" s="119">
        <f t="shared" si="3"/>
        <v>204411</v>
      </c>
      <c r="BD12" s="120">
        <f t="shared" si="4"/>
        <v>192168.30606070036</v>
      </c>
      <c r="BE12" s="120">
        <f t="shared" ref="BE12:BF12" si="29">(BE$27-SUM(BE$20:BE$22))/(BD$27-SUM(BD$20:BD$22))*BD12</f>
        <v>183947.7040983995</v>
      </c>
      <c r="BF12" s="121">
        <f t="shared" si="29"/>
        <v>182219.89480789032</v>
      </c>
      <c r="BG12" s="119">
        <f t="shared" si="6"/>
        <v>204411</v>
      </c>
      <c r="BH12" s="120">
        <f t="shared" ref="BH12:BJ12" si="30">(BH$27-SUM(BH$20:BH$22))/(BG$27-SUM(BG$20:BG$22))*BG12</f>
        <v>192168.30606070036</v>
      </c>
      <c r="BI12" s="120">
        <f t="shared" si="30"/>
        <v>186807.23869236748</v>
      </c>
      <c r="BJ12" s="121">
        <f t="shared" si="30"/>
        <v>185915.60258508165</v>
      </c>
      <c r="BK12" s="119">
        <f t="shared" si="8"/>
        <v>204411</v>
      </c>
      <c r="BL12" s="120">
        <f t="shared" ref="BL12:BN12" si="31">(BL$27-SUM(BL$20:BL$22))/(BK$27-SUM(BK$20:BK$22))*BK12</f>
        <v>192168.30606070036</v>
      </c>
      <c r="BM12" s="120">
        <f t="shared" si="31"/>
        <v>189178.34230036856</v>
      </c>
      <c r="BN12" s="121">
        <f t="shared" si="31"/>
        <v>189037.9232200917</v>
      </c>
    </row>
    <row r="13" spans="1:66" ht="14.25" customHeight="1">
      <c r="A13" s="21">
        <v>38717</v>
      </c>
      <c r="B13" s="31">
        <v>270014.85252010881</v>
      </c>
      <c r="C13" s="6">
        <v>4.3140258709746462</v>
      </c>
      <c r="D13" s="6">
        <v>17.850000000000001</v>
      </c>
      <c r="E13" s="6">
        <v>-0.66999999999999815</v>
      </c>
      <c r="F13" s="6">
        <f t="shared" si="10"/>
        <v>16.995562355680924</v>
      </c>
      <c r="G13" s="6"/>
      <c r="H13" s="21">
        <v>37437</v>
      </c>
      <c r="I13" s="35">
        <v>4.9715071116023637</v>
      </c>
      <c r="J13" s="37">
        <v>21.94</v>
      </c>
      <c r="K13" s="37">
        <v>21.94</v>
      </c>
      <c r="L13" s="37">
        <v>21.94</v>
      </c>
      <c r="N13" s="21">
        <v>38717</v>
      </c>
      <c r="O13" s="6">
        <f t="shared" si="2"/>
        <v>17.850000000000001</v>
      </c>
      <c r="P13" s="6">
        <f t="shared" si="14"/>
        <v>17.850000000000001</v>
      </c>
      <c r="Q13" s="6">
        <f t="shared" si="15"/>
        <v>17.850000000000001</v>
      </c>
      <c r="R13" s="6">
        <f t="shared" si="16"/>
        <v>17.850000000000001</v>
      </c>
      <c r="S13" s="6">
        <f t="shared" si="1"/>
        <v>4.3140258709746462</v>
      </c>
      <c r="T13" s="3"/>
      <c r="U13" s="21">
        <v>37437</v>
      </c>
      <c r="V13" s="37">
        <v>21.94</v>
      </c>
      <c r="W13" s="37">
        <v>21.94</v>
      </c>
      <c r="X13" s="37">
        <v>21.94</v>
      </c>
      <c r="AA13" s="43" t="s">
        <v>109</v>
      </c>
      <c r="AB13" s="43" t="s">
        <v>110</v>
      </c>
      <c r="AC13" s="55"/>
      <c r="AD13" s="27">
        <v>66191</v>
      </c>
      <c r="AE13" s="27">
        <v>65962</v>
      </c>
      <c r="AF13" s="27">
        <v>64029</v>
      </c>
      <c r="AG13" s="27">
        <v>64733</v>
      </c>
      <c r="AH13" s="27">
        <v>64880</v>
      </c>
      <c r="AI13" s="27">
        <v>65230</v>
      </c>
      <c r="AJ13" s="27">
        <v>66795</v>
      </c>
      <c r="AK13" s="27">
        <v>67555</v>
      </c>
      <c r="AL13" s="27">
        <v>68308</v>
      </c>
      <c r="AM13" s="27">
        <v>63896</v>
      </c>
      <c r="AN13" s="27">
        <v>61718</v>
      </c>
      <c r="AO13" s="27">
        <v>61782</v>
      </c>
      <c r="AP13" s="27">
        <v>61447</v>
      </c>
      <c r="AQ13" s="27">
        <v>58921</v>
      </c>
      <c r="AR13" s="27">
        <v>56698</v>
      </c>
      <c r="AS13" s="27">
        <v>61052</v>
      </c>
      <c r="AT13" s="27">
        <v>63376</v>
      </c>
      <c r="AU13" s="27">
        <v>67201</v>
      </c>
      <c r="AV13" s="27">
        <v>71530</v>
      </c>
      <c r="AW13" s="27">
        <v>71828</v>
      </c>
      <c r="AX13" s="27">
        <v>74874</v>
      </c>
      <c r="AY13" s="27">
        <v>76365</v>
      </c>
      <c r="AZ13" s="27">
        <v>75765</v>
      </c>
      <c r="BA13" s="27">
        <v>72762</v>
      </c>
      <c r="BC13" s="119">
        <f t="shared" si="3"/>
        <v>72762</v>
      </c>
      <c r="BD13" s="120">
        <f t="shared" si="4"/>
        <v>68404.099023969742</v>
      </c>
      <c r="BE13" s="120">
        <f t="shared" ref="BE13:BF13" si="32">(BE$27-SUM(BE$20:BE$22))/(BD$27-SUM(BD$20:BD$22))*BD13</f>
        <v>65477.89916202036</v>
      </c>
      <c r="BF13" s="121">
        <f t="shared" si="32"/>
        <v>64862.8693466189</v>
      </c>
      <c r="BG13" s="119">
        <f t="shared" si="6"/>
        <v>72762</v>
      </c>
      <c r="BH13" s="120">
        <f t="shared" ref="BH13:BJ13" si="33">(BH$27-SUM(BH$20:BH$22))/(BG$27-SUM(BG$20:BG$22))*BG13</f>
        <v>68404.099023969742</v>
      </c>
      <c r="BI13" s="120">
        <f t="shared" si="33"/>
        <v>66495.777143764484</v>
      </c>
      <c r="BJ13" s="121">
        <f t="shared" si="33"/>
        <v>66178.390963772545</v>
      </c>
      <c r="BK13" s="119">
        <f t="shared" si="8"/>
        <v>72762</v>
      </c>
      <c r="BL13" s="120">
        <f t="shared" ref="BL13:BN13" si="34">(BL$27-SUM(BL$20:BL$22))/(BK$27-SUM(BK$20:BK$22))*BK13</f>
        <v>68404.099023969742</v>
      </c>
      <c r="BM13" s="120">
        <f t="shared" si="34"/>
        <v>67339.793565216241</v>
      </c>
      <c r="BN13" s="121">
        <f t="shared" si="34"/>
        <v>67289.810085270918</v>
      </c>
    </row>
    <row r="14" spans="1:66" ht="14.25" customHeight="1">
      <c r="A14" s="21">
        <v>39082</v>
      </c>
      <c r="B14" s="31">
        <v>294444.74917375506</v>
      </c>
      <c r="C14" s="6">
        <v>5.0010664356343426</v>
      </c>
      <c r="D14" s="6">
        <v>16.649999999999999</v>
      </c>
      <c r="E14" s="6">
        <v>-1.2000000000000028</v>
      </c>
      <c r="F14" s="6">
        <f t="shared" si="10"/>
        <v>16.032264738627699</v>
      </c>
      <c r="G14" s="6"/>
      <c r="H14" s="21">
        <v>37529</v>
      </c>
      <c r="I14" s="35">
        <v>6.0401295047224579</v>
      </c>
      <c r="J14" s="37">
        <v>21.46</v>
      </c>
      <c r="K14" s="37">
        <v>21.46</v>
      </c>
      <c r="L14" s="37">
        <v>21.46</v>
      </c>
      <c r="N14" s="21">
        <v>39082</v>
      </c>
      <c r="O14" s="6">
        <f t="shared" si="2"/>
        <v>16.649999999999999</v>
      </c>
      <c r="P14" s="6">
        <f t="shared" si="14"/>
        <v>16.649999999999999</v>
      </c>
      <c r="Q14" s="6">
        <f t="shared" si="15"/>
        <v>16.649999999999999</v>
      </c>
      <c r="R14" s="6">
        <f t="shared" si="16"/>
        <v>16.649999999999999</v>
      </c>
      <c r="S14" s="6">
        <f t="shared" si="1"/>
        <v>5.0010664356343426</v>
      </c>
      <c r="T14" s="3"/>
      <c r="U14" s="21">
        <v>37529</v>
      </c>
      <c r="V14" s="37">
        <v>21.46</v>
      </c>
      <c r="W14" s="37">
        <v>21.46</v>
      </c>
      <c r="X14" s="37">
        <v>21.46</v>
      </c>
      <c r="AA14" s="43" t="s">
        <v>114</v>
      </c>
      <c r="AB14" s="43" t="s">
        <v>115</v>
      </c>
      <c r="AC14" s="55"/>
      <c r="AD14" s="27">
        <v>37616</v>
      </c>
      <c r="AE14" s="27">
        <v>35540</v>
      </c>
      <c r="AF14" s="27">
        <v>34684</v>
      </c>
      <c r="AG14" s="27">
        <v>34751</v>
      </c>
      <c r="AH14" s="27">
        <v>36261</v>
      </c>
      <c r="AI14" s="27">
        <v>36157</v>
      </c>
      <c r="AJ14" s="27">
        <v>40643</v>
      </c>
      <c r="AK14" s="27">
        <v>43200</v>
      </c>
      <c r="AL14" s="27">
        <v>45173</v>
      </c>
      <c r="AM14" s="27">
        <v>41856</v>
      </c>
      <c r="AN14" s="27">
        <v>40346</v>
      </c>
      <c r="AO14" s="27">
        <v>42208</v>
      </c>
      <c r="AP14" s="27">
        <v>44146</v>
      </c>
      <c r="AQ14" s="27">
        <v>45623</v>
      </c>
      <c r="AR14" s="27">
        <v>49614</v>
      </c>
      <c r="AS14" s="27">
        <v>56787</v>
      </c>
      <c r="AT14" s="27">
        <v>64591</v>
      </c>
      <c r="AU14" s="27">
        <v>70489</v>
      </c>
      <c r="AV14" s="27">
        <v>79544</v>
      </c>
      <c r="AW14" s="27">
        <v>67138</v>
      </c>
      <c r="AX14" s="27">
        <v>91754</v>
      </c>
      <c r="AY14" s="27">
        <v>99979</v>
      </c>
      <c r="AZ14" s="27">
        <v>84173</v>
      </c>
      <c r="BA14" s="27">
        <v>69275</v>
      </c>
      <c r="BC14" s="119">
        <f t="shared" si="3"/>
        <v>69275</v>
      </c>
      <c r="BD14" s="120">
        <f t="shared" si="4"/>
        <v>65125.944310017643</v>
      </c>
      <c r="BE14" s="120">
        <f t="shared" ref="BE14:BF14" si="35">(BE$27-SUM(BE$20:BE$22))/(BD$27-SUM(BD$20:BD$22))*BD14</f>
        <v>62339.977796775245</v>
      </c>
      <c r="BF14" s="121">
        <f t="shared" si="35"/>
        <v>61754.422280682556</v>
      </c>
      <c r="BG14" s="119">
        <f t="shared" si="6"/>
        <v>69275</v>
      </c>
      <c r="BH14" s="120">
        <f t="shared" ref="BH14:BJ14" si="36">(BH$27-SUM(BH$20:BH$22))/(BG$27-SUM(BG$20:BG$22))*BG14</f>
        <v>65125.944310017643</v>
      </c>
      <c r="BI14" s="120">
        <f t="shared" si="36"/>
        <v>63309.075638853858</v>
      </c>
      <c r="BJ14" s="121">
        <f t="shared" si="36"/>
        <v>63006.899673117055</v>
      </c>
      <c r="BK14" s="119">
        <f t="shared" si="8"/>
        <v>69275</v>
      </c>
      <c r="BL14" s="120">
        <f t="shared" ref="BL14:BN14" si="37">(BL$27-SUM(BL$20:BL$22))/(BK$27-SUM(BK$20:BK$22))*BK14</f>
        <v>65125.944310017643</v>
      </c>
      <c r="BM14" s="120">
        <f t="shared" si="37"/>
        <v>64112.643951930331</v>
      </c>
      <c r="BN14" s="121">
        <f t="shared" si="37"/>
        <v>64065.055848617987</v>
      </c>
    </row>
    <row r="15" spans="1:66" ht="14.25" customHeight="1">
      <c r="A15" s="21">
        <v>39447</v>
      </c>
      <c r="B15" s="31">
        <v>322791.37158381846</v>
      </c>
      <c r="C15" s="6">
        <v>5.2663673407059832</v>
      </c>
      <c r="D15" s="6">
        <v>14.38</v>
      </c>
      <c r="E15" s="6">
        <v>-2.2699999999999978</v>
      </c>
      <c r="F15" s="6">
        <f t="shared" si="10"/>
        <v>14.719007782252614</v>
      </c>
      <c r="G15" s="6"/>
      <c r="H15" s="21">
        <v>37621</v>
      </c>
      <c r="I15" s="35">
        <v>3.6724267690282772</v>
      </c>
      <c r="J15" s="37">
        <v>21.32</v>
      </c>
      <c r="K15" s="37">
        <v>21.32</v>
      </c>
      <c r="L15" s="37">
        <v>21.32</v>
      </c>
      <c r="N15" s="21">
        <v>39447</v>
      </c>
      <c r="O15" s="6">
        <f t="shared" si="2"/>
        <v>14.38</v>
      </c>
      <c r="P15" s="6">
        <f t="shared" si="14"/>
        <v>14.38</v>
      </c>
      <c r="Q15" s="6">
        <f t="shared" si="15"/>
        <v>14.38</v>
      </c>
      <c r="R15" s="6">
        <f t="shared" si="16"/>
        <v>14.38</v>
      </c>
      <c r="S15" s="6">
        <f t="shared" si="1"/>
        <v>5.2663673407059832</v>
      </c>
      <c r="T15" s="3"/>
      <c r="U15" s="21">
        <v>37621</v>
      </c>
      <c r="V15" s="37">
        <v>21.32</v>
      </c>
      <c r="W15" s="37">
        <v>21.32</v>
      </c>
      <c r="X15" s="37">
        <v>21.32</v>
      </c>
      <c r="AA15" s="43" t="s">
        <v>119</v>
      </c>
      <c r="AB15" s="43" t="s">
        <v>120</v>
      </c>
      <c r="AC15" s="55"/>
      <c r="AD15" s="27">
        <v>26379</v>
      </c>
      <c r="AE15" s="27">
        <v>26880</v>
      </c>
      <c r="AF15" s="27">
        <v>27418</v>
      </c>
      <c r="AG15" s="27">
        <v>28587</v>
      </c>
      <c r="AH15" s="27">
        <v>28720</v>
      </c>
      <c r="AI15" s="27">
        <v>28974</v>
      </c>
      <c r="AJ15" s="27">
        <v>30292</v>
      </c>
      <c r="AK15" s="27">
        <v>31388</v>
      </c>
      <c r="AL15" s="27">
        <v>31828</v>
      </c>
      <c r="AM15" s="27">
        <v>31047</v>
      </c>
      <c r="AN15" s="27">
        <v>31948</v>
      </c>
      <c r="AO15" s="27">
        <v>32753</v>
      </c>
      <c r="AP15" s="27">
        <v>32572</v>
      </c>
      <c r="AQ15" s="27">
        <v>32270</v>
      </c>
      <c r="AR15" s="27">
        <v>32990</v>
      </c>
      <c r="AS15" s="27">
        <v>33241</v>
      </c>
      <c r="AT15" s="27">
        <v>36384</v>
      </c>
      <c r="AU15" s="27">
        <v>38432</v>
      </c>
      <c r="AV15" s="27">
        <v>41280</v>
      </c>
      <c r="AW15" s="27">
        <v>42286</v>
      </c>
      <c r="AX15" s="27">
        <v>43034</v>
      </c>
      <c r="AY15" s="27">
        <v>43259</v>
      </c>
      <c r="AZ15" s="27">
        <v>44272</v>
      </c>
      <c r="BA15" s="27">
        <v>43911</v>
      </c>
      <c r="BC15" s="119">
        <f t="shared" si="3"/>
        <v>43911</v>
      </c>
      <c r="BD15" s="120">
        <f t="shared" si="4"/>
        <v>41281.058687797689</v>
      </c>
      <c r="BE15" s="120">
        <f t="shared" ref="BE15:BF15" si="38">(BE$27-SUM(BE$20:BE$22))/(BD$27-SUM(BD$20:BD$22))*BD15</f>
        <v>39515.131938422201</v>
      </c>
      <c r="BF15" s="121">
        <f t="shared" si="38"/>
        <v>39143.96877325228</v>
      </c>
      <c r="BG15" s="119">
        <f t="shared" si="6"/>
        <v>43911</v>
      </c>
      <c r="BH15" s="120">
        <f t="shared" ref="BH15:BJ15" si="39">(BH$27-SUM(BH$20:BH$22))/(BG$27-SUM(BG$20:BG$22))*BG15</f>
        <v>41281.058687797689</v>
      </c>
      <c r="BI15" s="120">
        <f t="shared" si="39"/>
        <v>40129.40917181829</v>
      </c>
      <c r="BJ15" s="121">
        <f t="shared" si="39"/>
        <v>39937.870394027334</v>
      </c>
      <c r="BK15" s="119">
        <f t="shared" si="8"/>
        <v>43911</v>
      </c>
      <c r="BL15" s="120">
        <f t="shared" ref="BL15:BN15" si="40">(BL$27-SUM(BL$20:BL$22))/(BK$27-SUM(BK$20:BK$22))*BK15</f>
        <v>41281.058687797689</v>
      </c>
      <c r="BM15" s="120">
        <f t="shared" si="40"/>
        <v>40638.763025235843</v>
      </c>
      <c r="BN15" s="121">
        <f t="shared" si="40"/>
        <v>40608.598590670008</v>
      </c>
    </row>
    <row r="16" spans="1:66" ht="14.25" customHeight="1">
      <c r="A16" s="21">
        <v>39813</v>
      </c>
      <c r="B16" s="31">
        <v>346735.16056126053</v>
      </c>
      <c r="C16" s="6">
        <v>1.759521735413955</v>
      </c>
      <c r="D16" s="6">
        <v>13.48</v>
      </c>
      <c r="E16" s="6">
        <v>-0.90000000000000036</v>
      </c>
      <c r="F16" s="6">
        <f t="shared" si="10"/>
        <v>13.946080171151783</v>
      </c>
      <c r="G16" s="6"/>
      <c r="H16" s="21">
        <v>37711</v>
      </c>
      <c r="I16" s="35">
        <v>5.9757585437295404</v>
      </c>
      <c r="J16" s="37">
        <v>20.6</v>
      </c>
      <c r="K16" s="37">
        <v>20.6</v>
      </c>
      <c r="L16" s="37">
        <v>20.6</v>
      </c>
      <c r="N16" s="21">
        <v>39813</v>
      </c>
      <c r="O16" s="6">
        <f t="shared" si="2"/>
        <v>13.48</v>
      </c>
      <c r="P16" s="6">
        <f t="shared" si="14"/>
        <v>13.48</v>
      </c>
      <c r="Q16" s="6">
        <f t="shared" si="15"/>
        <v>13.48</v>
      </c>
      <c r="R16" s="6">
        <f t="shared" si="16"/>
        <v>13.48</v>
      </c>
      <c r="S16" s="6">
        <f t="shared" si="1"/>
        <v>1.759521735413955</v>
      </c>
      <c r="T16" s="3"/>
      <c r="U16" s="21">
        <v>37711</v>
      </c>
      <c r="V16" s="37">
        <v>20.6</v>
      </c>
      <c r="W16" s="37">
        <v>20.6</v>
      </c>
      <c r="X16" s="37">
        <v>20.6</v>
      </c>
      <c r="AA16" s="43" t="s">
        <v>123</v>
      </c>
      <c r="AB16" s="43" t="s">
        <v>124</v>
      </c>
      <c r="AC16" s="55"/>
      <c r="AD16" s="27">
        <v>28951</v>
      </c>
      <c r="AE16" s="27">
        <v>28231</v>
      </c>
      <c r="AF16" s="27">
        <v>29198</v>
      </c>
      <c r="AG16" s="27">
        <v>29748</v>
      </c>
      <c r="AH16" s="27">
        <v>30428</v>
      </c>
      <c r="AI16" s="27">
        <v>31879</v>
      </c>
      <c r="AJ16" s="27">
        <v>33687</v>
      </c>
      <c r="AK16" s="27">
        <v>35334</v>
      </c>
      <c r="AL16" s="27">
        <v>37139</v>
      </c>
      <c r="AM16" s="27">
        <v>37530</v>
      </c>
      <c r="AN16" s="27">
        <v>36106</v>
      </c>
      <c r="AO16" s="27">
        <v>36619</v>
      </c>
      <c r="AP16" s="27">
        <v>37105</v>
      </c>
      <c r="AQ16" s="27">
        <v>36705</v>
      </c>
      <c r="AR16" s="27">
        <v>35810</v>
      </c>
      <c r="AS16" s="27">
        <v>40002</v>
      </c>
      <c r="AT16" s="27">
        <v>39536</v>
      </c>
      <c r="AU16" s="27">
        <v>38723</v>
      </c>
      <c r="AV16" s="27">
        <v>37326</v>
      </c>
      <c r="AW16" s="27">
        <v>37839</v>
      </c>
      <c r="AX16" s="27">
        <v>38196</v>
      </c>
      <c r="AY16" s="27">
        <v>38185</v>
      </c>
      <c r="AZ16" s="27">
        <v>38001</v>
      </c>
      <c r="BA16" s="27">
        <v>37675</v>
      </c>
      <c r="BC16" s="119">
        <f t="shared" si="3"/>
        <v>37675</v>
      </c>
      <c r="BD16" s="120">
        <f t="shared" si="4"/>
        <v>35418.548565570767</v>
      </c>
      <c r="BE16" s="120">
        <f t="shared" ref="BE16:BF16" si="41">(BE$27-SUM(BE$20:BE$22))/(BD$27-SUM(BD$20:BD$22))*BD16</f>
        <v>33903.409072443268</v>
      </c>
      <c r="BF16" s="121">
        <f t="shared" si="41"/>
        <v>33584.956469501485</v>
      </c>
      <c r="BG16" s="119">
        <f t="shared" si="6"/>
        <v>37675</v>
      </c>
      <c r="BH16" s="120">
        <f t="shared" ref="BH16:BJ16" si="42">(BH$27-SUM(BH$20:BH$22))/(BG$27-SUM(BG$20:BG$22))*BG16</f>
        <v>35418.548565570767</v>
      </c>
      <c r="BI16" s="120">
        <f t="shared" si="42"/>
        <v>34430.450013624242</v>
      </c>
      <c r="BJ16" s="121">
        <f t="shared" si="42"/>
        <v>34266.112525221011</v>
      </c>
      <c r="BK16" s="119">
        <f t="shared" si="8"/>
        <v>37675</v>
      </c>
      <c r="BL16" s="120">
        <f t="shared" ref="BL16:BN16" si="43">(BL$27-SUM(BL$20:BL$22))/(BK$27-SUM(BK$20:BK$22))*BK16</f>
        <v>35418.548565570767</v>
      </c>
      <c r="BM16" s="120">
        <f t="shared" si="43"/>
        <v>34867.468219256232</v>
      </c>
      <c r="BN16" s="121">
        <f t="shared" si="43"/>
        <v>34841.587572669545</v>
      </c>
    </row>
    <row r="17" spans="1:66" ht="14.25" customHeight="1">
      <c r="A17" s="21">
        <v>40178</v>
      </c>
      <c r="B17" s="31">
        <v>330770.75294643943</v>
      </c>
      <c r="C17" s="6">
        <v>-7.3594993654901231</v>
      </c>
      <c r="D17" s="6">
        <v>16.739999999999998</v>
      </c>
      <c r="E17" s="6">
        <v>3.259999999999998</v>
      </c>
      <c r="F17" s="6">
        <f t="shared" si="10"/>
        <v>16.938990279127733</v>
      </c>
      <c r="G17" s="6"/>
      <c r="H17" s="21">
        <v>37802</v>
      </c>
      <c r="I17" s="35">
        <v>6.6723426279648947</v>
      </c>
      <c r="J17" s="37">
        <v>18.5</v>
      </c>
      <c r="K17" s="37">
        <v>18.5</v>
      </c>
      <c r="L17" s="37">
        <v>18.5</v>
      </c>
      <c r="N17" s="21">
        <v>40178</v>
      </c>
      <c r="O17" s="6">
        <f t="shared" si="2"/>
        <v>16.739999999999998</v>
      </c>
      <c r="P17" s="6">
        <f t="shared" si="14"/>
        <v>16.739999999999998</v>
      </c>
      <c r="Q17" s="6">
        <f t="shared" si="15"/>
        <v>16.739999999999998</v>
      </c>
      <c r="R17" s="6">
        <f t="shared" si="16"/>
        <v>16.739999999999998</v>
      </c>
      <c r="S17" s="6">
        <f t="shared" si="1"/>
        <v>-7.3594993654901231</v>
      </c>
      <c r="T17" s="3"/>
      <c r="U17" s="21">
        <v>37802</v>
      </c>
      <c r="V17" s="37">
        <v>18.5</v>
      </c>
      <c r="W17" s="37">
        <v>18.5</v>
      </c>
      <c r="X17" s="37">
        <v>18.5</v>
      </c>
      <c r="AA17" s="43" t="s">
        <v>128</v>
      </c>
      <c r="AB17" s="43" t="s">
        <v>129</v>
      </c>
      <c r="AC17" s="55"/>
      <c r="AD17" s="27">
        <v>2223</v>
      </c>
      <c r="AE17" s="27">
        <v>2190</v>
      </c>
      <c r="AF17" s="27">
        <v>2148</v>
      </c>
      <c r="AG17" s="27">
        <v>2561</v>
      </c>
      <c r="AH17" s="27">
        <v>2811</v>
      </c>
      <c r="AI17" s="27">
        <v>3072</v>
      </c>
      <c r="AJ17" s="27">
        <v>3716</v>
      </c>
      <c r="AK17" s="27">
        <v>4141</v>
      </c>
      <c r="AL17" s="27">
        <v>5000</v>
      </c>
      <c r="AM17" s="27">
        <v>5849</v>
      </c>
      <c r="AN17" s="27">
        <v>5612</v>
      </c>
      <c r="AO17" s="27">
        <v>5858</v>
      </c>
      <c r="AP17" s="27">
        <v>5925</v>
      </c>
      <c r="AQ17" s="27">
        <v>7167</v>
      </c>
      <c r="AR17" s="27">
        <v>6571</v>
      </c>
      <c r="AS17" s="27">
        <v>8316</v>
      </c>
      <c r="AT17" s="27">
        <v>8755</v>
      </c>
      <c r="AU17" s="27">
        <v>9031</v>
      </c>
      <c r="AV17" s="27">
        <v>9067</v>
      </c>
      <c r="AW17" s="27">
        <v>9093</v>
      </c>
      <c r="AX17" s="27">
        <v>9317</v>
      </c>
      <c r="AY17" s="27">
        <v>9555</v>
      </c>
      <c r="AZ17" s="27">
        <v>9424</v>
      </c>
      <c r="BA17" s="27">
        <v>9114</v>
      </c>
      <c r="BC17" s="119">
        <f t="shared" si="3"/>
        <v>9114</v>
      </c>
      <c r="BD17" s="120">
        <f t="shared" si="4"/>
        <v>8568.13939287623</v>
      </c>
      <c r="BE17" s="120">
        <f t="shared" ref="BE17:BF17" si="44">(BE$27-SUM(BE$20:BE$22))/(BD$27-SUM(BD$20:BD$22))*BD17</f>
        <v>8201.6103592899253</v>
      </c>
      <c r="BF17" s="121">
        <f t="shared" si="44"/>
        <v>8124.5731456678577</v>
      </c>
      <c r="BG17" s="119">
        <f t="shared" si="6"/>
        <v>9114</v>
      </c>
      <c r="BH17" s="120">
        <f t="shared" ref="BH17:BJ17" si="45">(BH$27-SUM(BH$20:BH$22))/(BG$27-SUM(BG$20:BG$22))*BG17</f>
        <v>8568.13939287623</v>
      </c>
      <c r="BI17" s="120">
        <f t="shared" si="45"/>
        <v>8329.1074034285684</v>
      </c>
      <c r="BJ17" s="121">
        <f t="shared" si="45"/>
        <v>8289.3523438583743</v>
      </c>
      <c r="BK17" s="119">
        <f t="shared" si="8"/>
        <v>9114</v>
      </c>
      <c r="BL17" s="120">
        <f t="shared" ref="BL17:BN17" si="46">(BL$27-SUM(BL$20:BL$22))/(BK$27-SUM(BK$20:BK$22))*BK17</f>
        <v>8568.13939287623</v>
      </c>
      <c r="BM17" s="120">
        <f t="shared" si="46"/>
        <v>8434.8269502402472</v>
      </c>
      <c r="BN17" s="121">
        <f t="shared" si="46"/>
        <v>8428.5661350314604</v>
      </c>
    </row>
    <row r="18" spans="1:66" ht="14.25" customHeight="1">
      <c r="A18" s="21">
        <v>40543</v>
      </c>
      <c r="B18" s="31">
        <v>328824.16364117799</v>
      </c>
      <c r="C18" s="6">
        <v>-1.4962533356099641</v>
      </c>
      <c r="D18" s="6">
        <v>18.64</v>
      </c>
      <c r="E18" s="6">
        <v>1.9000000000000021</v>
      </c>
      <c r="F18" s="6">
        <f t="shared" si="10"/>
        <v>17.695970548971893</v>
      </c>
      <c r="G18" s="6"/>
      <c r="H18" s="21">
        <v>37894</v>
      </c>
      <c r="I18" s="35">
        <v>5.0627962071036876</v>
      </c>
      <c r="J18" s="37">
        <v>17.88</v>
      </c>
      <c r="K18" s="37">
        <v>17.88</v>
      </c>
      <c r="L18" s="37">
        <v>17.88</v>
      </c>
      <c r="N18" s="21">
        <v>40543</v>
      </c>
      <c r="O18" s="6">
        <f t="shared" si="2"/>
        <v>18.64</v>
      </c>
      <c r="P18" s="6">
        <f t="shared" si="14"/>
        <v>18.64</v>
      </c>
      <c r="Q18" s="6">
        <f t="shared" si="15"/>
        <v>18.64</v>
      </c>
      <c r="R18" s="6">
        <f t="shared" si="16"/>
        <v>18.64</v>
      </c>
      <c r="S18" s="6">
        <f t="shared" si="1"/>
        <v>-1.4962533356099641</v>
      </c>
      <c r="T18" s="3"/>
      <c r="U18" s="21">
        <v>37894</v>
      </c>
      <c r="V18" s="37">
        <v>17.88</v>
      </c>
      <c r="W18" s="37">
        <v>17.88</v>
      </c>
      <c r="X18" s="37">
        <v>17.88</v>
      </c>
      <c r="AA18" s="43" t="s">
        <v>132</v>
      </c>
      <c r="AB18" s="43" t="s">
        <v>133</v>
      </c>
      <c r="AC18" s="55"/>
      <c r="AD18" s="27">
        <v>34368</v>
      </c>
      <c r="AE18" s="27">
        <v>36484</v>
      </c>
      <c r="AF18" s="27">
        <v>35323</v>
      </c>
      <c r="AG18" s="27">
        <v>37524</v>
      </c>
      <c r="AH18" s="27">
        <v>39965</v>
      </c>
      <c r="AI18" s="27">
        <v>42232</v>
      </c>
      <c r="AJ18" s="27">
        <v>46878</v>
      </c>
      <c r="AK18" s="27">
        <v>51692</v>
      </c>
      <c r="AL18" s="27">
        <v>53837</v>
      </c>
      <c r="AM18" s="27">
        <v>51989</v>
      </c>
      <c r="AN18" s="27">
        <v>51069</v>
      </c>
      <c r="AO18" s="27">
        <v>50393</v>
      </c>
      <c r="AP18" s="27">
        <v>51627</v>
      </c>
      <c r="AQ18" s="27">
        <v>51420</v>
      </c>
      <c r="AR18" s="27">
        <v>53915</v>
      </c>
      <c r="AS18" s="27">
        <v>53758</v>
      </c>
      <c r="AT18" s="27">
        <v>58342</v>
      </c>
      <c r="AU18" s="27">
        <v>59696</v>
      </c>
      <c r="AV18" s="27">
        <v>63312</v>
      </c>
      <c r="AW18" s="27">
        <v>61893</v>
      </c>
      <c r="AX18" s="27">
        <v>63125</v>
      </c>
      <c r="AY18" s="27">
        <v>62846</v>
      </c>
      <c r="AZ18" s="27">
        <v>64492</v>
      </c>
      <c r="BA18" s="27">
        <v>62757</v>
      </c>
      <c r="BC18" s="119">
        <f t="shared" si="3"/>
        <v>62757</v>
      </c>
      <c r="BD18" s="120">
        <f t="shared" si="4"/>
        <v>58998.323883995341</v>
      </c>
      <c r="BE18" s="120">
        <f t="shared" ref="BE18:BF18" si="47">(BE$27-SUM(BE$20:BE$22))/(BD$27-SUM(BD$20:BD$22))*BD18</f>
        <v>56474.485551674108</v>
      </c>
      <c r="BF18" s="121">
        <f t="shared" si="47"/>
        <v>55944.024237730708</v>
      </c>
      <c r="BG18" s="119">
        <f t="shared" si="6"/>
        <v>62757</v>
      </c>
      <c r="BH18" s="120">
        <f t="shared" ref="BH18:BJ18" si="48">(BH$27-SUM(BH$20:BH$22))/(BG$27-SUM(BG$20:BG$22))*BG18</f>
        <v>58998.323883995341</v>
      </c>
      <c r="BI18" s="120">
        <f t="shared" si="48"/>
        <v>57352.402163371371</v>
      </c>
      <c r="BJ18" s="121">
        <f t="shared" si="48"/>
        <v>57078.657564573179</v>
      </c>
      <c r="BK18" s="119">
        <f t="shared" si="8"/>
        <v>62757</v>
      </c>
      <c r="BL18" s="120">
        <f t="shared" ref="BL18:BN18" si="49">(BL$27-SUM(BL$20:BL$22))/(BK$27-SUM(BK$20:BK$22))*BK18</f>
        <v>58998.323883995341</v>
      </c>
      <c r="BM18" s="120">
        <f t="shared" si="49"/>
        <v>58080.363716943946</v>
      </c>
      <c r="BN18" s="121">
        <f t="shared" si="49"/>
        <v>58037.253120053683</v>
      </c>
    </row>
    <row r="19" spans="1:66" ht="14.25" customHeight="1">
      <c r="A19" s="21">
        <v>40908</v>
      </c>
      <c r="B19" s="31">
        <v>333214.80289641587</v>
      </c>
      <c r="C19" s="6">
        <v>-0.30982900477832231</v>
      </c>
      <c r="D19" s="6">
        <v>18.558517003648891</v>
      </c>
      <c r="E19" s="6">
        <v>-8.1482996351109449E-2</v>
      </c>
      <c r="F19" s="6">
        <f t="shared" si="10"/>
        <v>19.089486002139868</v>
      </c>
      <c r="G19" s="6"/>
      <c r="H19" s="21">
        <v>37986</v>
      </c>
      <c r="I19" s="35">
        <v>4.8994155622266362</v>
      </c>
      <c r="J19" s="37">
        <v>18.670000000000002</v>
      </c>
      <c r="K19" s="37">
        <v>18.670000000000002</v>
      </c>
      <c r="L19" s="37">
        <v>18.670000000000002</v>
      </c>
      <c r="N19" s="21">
        <v>40908</v>
      </c>
      <c r="O19" s="6">
        <f t="shared" si="2"/>
        <v>18.558517003648891</v>
      </c>
      <c r="P19" s="6">
        <f t="shared" si="14"/>
        <v>18.558517003648891</v>
      </c>
      <c r="Q19" s="6">
        <f t="shared" si="15"/>
        <v>18.558517003648891</v>
      </c>
      <c r="R19" s="6">
        <f t="shared" si="16"/>
        <v>18.558517003648891</v>
      </c>
      <c r="S19" s="6">
        <f t="shared" si="1"/>
        <v>-0.30982900477832231</v>
      </c>
      <c r="T19" s="3"/>
      <c r="U19" s="21">
        <v>37986</v>
      </c>
      <c r="V19" s="37">
        <v>18.670000000000002</v>
      </c>
      <c r="W19" s="37">
        <v>18.670000000000002</v>
      </c>
      <c r="X19" s="37">
        <v>18.670000000000002</v>
      </c>
      <c r="AA19" s="43" t="s">
        <v>136</v>
      </c>
      <c r="AB19" s="43" t="s">
        <v>137</v>
      </c>
      <c r="AC19" s="55"/>
      <c r="AD19" s="27">
        <v>15458</v>
      </c>
      <c r="AE19" s="27">
        <v>16553</v>
      </c>
      <c r="AF19" s="27">
        <v>18360</v>
      </c>
      <c r="AG19" s="27">
        <v>20425</v>
      </c>
      <c r="AH19" s="27">
        <v>23481</v>
      </c>
      <c r="AI19" s="27">
        <v>24420</v>
      </c>
      <c r="AJ19" s="27">
        <v>26650</v>
      </c>
      <c r="AK19" s="27">
        <v>30464</v>
      </c>
      <c r="AL19" s="27">
        <v>32473</v>
      </c>
      <c r="AM19" s="27">
        <v>31953</v>
      </c>
      <c r="AN19" s="27">
        <v>33332</v>
      </c>
      <c r="AO19" s="27">
        <v>34176</v>
      </c>
      <c r="AP19" s="27">
        <v>35103</v>
      </c>
      <c r="AQ19" s="27">
        <v>34192</v>
      </c>
      <c r="AR19" s="27">
        <v>37587</v>
      </c>
      <c r="AS19" s="27">
        <v>41693</v>
      </c>
      <c r="AT19" s="27">
        <v>46430</v>
      </c>
      <c r="AU19" s="27">
        <v>47596</v>
      </c>
      <c r="AV19" s="27">
        <v>50639</v>
      </c>
      <c r="AW19" s="27">
        <v>49941</v>
      </c>
      <c r="AX19" s="27">
        <v>53871</v>
      </c>
      <c r="AY19" s="27">
        <v>54745</v>
      </c>
      <c r="AZ19" s="27">
        <v>52675</v>
      </c>
      <c r="BA19" s="27">
        <v>48745</v>
      </c>
      <c r="BC19" s="119">
        <f t="shared" si="3"/>
        <v>48745</v>
      </c>
      <c r="BD19" s="120">
        <f t="shared" ref="BD19" si="50">(BD$27-SUM(BD$20:BD$22))/(BC$27-SUM(BC$20:BC$22))*BC19</f>
        <v>45825.538150729844</v>
      </c>
      <c r="BE19" s="120">
        <f t="shared" ref="BE19:BF19" si="51">(BE$27-SUM(BE$20:BE$22))/(BD$27-SUM(BD$20:BD$22))*BD19</f>
        <v>43865.207040112728</v>
      </c>
      <c r="BF19" s="121">
        <f t="shared" si="51"/>
        <v>43453.183891329791</v>
      </c>
      <c r="BG19" s="119">
        <f t="shared" si="6"/>
        <v>48745</v>
      </c>
      <c r="BH19" s="120">
        <f t="shared" ref="BH19:BJ19" si="52">(BH$27-SUM(BH$20:BH$22))/(BG$27-SUM(BG$20:BG$22))*BG19</f>
        <v>45825.538150729844</v>
      </c>
      <c r="BI19" s="120">
        <f t="shared" si="52"/>
        <v>44547.107788032205</v>
      </c>
      <c r="BJ19" s="121">
        <f t="shared" si="52"/>
        <v>44334.48321279091</v>
      </c>
      <c r="BK19" s="119">
        <f t="shared" si="8"/>
        <v>48745</v>
      </c>
      <c r="BL19" s="120">
        <f t="shared" ref="BL19:BN19" si="53">(BL$27-SUM(BL$20:BL$22))/(BK$27-SUM(BK$20:BK$22))*BK19</f>
        <v>45825.538150729844</v>
      </c>
      <c r="BM19" s="120">
        <f t="shared" si="53"/>
        <v>45112.534528139215</v>
      </c>
      <c r="BN19" s="121">
        <f t="shared" si="53"/>
        <v>45079.049402250217</v>
      </c>
    </row>
    <row r="20" spans="1:66" ht="14.25" customHeight="1">
      <c r="A20" s="21">
        <v>41274</v>
      </c>
      <c r="B20" s="31">
        <v>330509.41318129771</v>
      </c>
      <c r="C20" s="6">
        <v>-2.2377241055942534</v>
      </c>
      <c r="D20" s="6">
        <v>20.9</v>
      </c>
      <c r="E20" s="6">
        <v>2.3414829963511075</v>
      </c>
      <c r="F20" s="6">
        <f t="shared" si="10"/>
        <v>19.831021424327076</v>
      </c>
      <c r="G20" s="6"/>
      <c r="H20" s="21">
        <v>38077</v>
      </c>
      <c r="I20" s="35">
        <v>4.810697890281773</v>
      </c>
      <c r="J20" s="37">
        <v>18.89</v>
      </c>
      <c r="K20" s="37">
        <v>18.89</v>
      </c>
      <c r="L20" s="37">
        <v>18.89</v>
      </c>
      <c r="N20" s="21">
        <v>41274</v>
      </c>
      <c r="O20" s="6">
        <f t="shared" si="2"/>
        <v>20.9</v>
      </c>
      <c r="P20" s="6">
        <f t="shared" si="14"/>
        <v>20.9</v>
      </c>
      <c r="Q20" s="6">
        <f t="shared" si="15"/>
        <v>20.9</v>
      </c>
      <c r="R20" s="6">
        <f t="shared" si="16"/>
        <v>20.9</v>
      </c>
      <c r="S20" s="6">
        <f t="shared" si="1"/>
        <v>-2.2377241055942534</v>
      </c>
      <c r="T20" s="3"/>
      <c r="U20" s="21">
        <v>38077</v>
      </c>
      <c r="V20" s="37">
        <v>18.89</v>
      </c>
      <c r="W20" s="37">
        <v>18.89</v>
      </c>
      <c r="X20" s="37">
        <v>18.89</v>
      </c>
      <c r="AA20" s="43" t="s">
        <v>141</v>
      </c>
      <c r="AB20" s="43" t="s">
        <v>142</v>
      </c>
      <c r="AC20" s="55"/>
      <c r="AD20" s="27">
        <v>121300</v>
      </c>
      <c r="AE20" s="27">
        <v>120514</v>
      </c>
      <c r="AF20" s="27">
        <v>116771</v>
      </c>
      <c r="AG20" s="27">
        <v>117460</v>
      </c>
      <c r="AH20" s="27">
        <v>105174</v>
      </c>
      <c r="AI20" s="27">
        <v>104771</v>
      </c>
      <c r="AJ20" s="27">
        <v>104802</v>
      </c>
      <c r="AK20" s="27">
        <v>105545</v>
      </c>
      <c r="AL20" s="27">
        <v>106268</v>
      </c>
      <c r="AM20" s="27">
        <v>106052</v>
      </c>
      <c r="AN20" s="27">
        <v>106825</v>
      </c>
      <c r="AO20" s="27">
        <v>106567</v>
      </c>
      <c r="AP20" s="27">
        <v>104696</v>
      </c>
      <c r="AQ20" s="27">
        <v>105472</v>
      </c>
      <c r="AR20" s="27">
        <v>101877</v>
      </c>
      <c r="AS20" s="27">
        <v>107711</v>
      </c>
      <c r="AT20" s="27">
        <v>110131</v>
      </c>
      <c r="AU20" s="27">
        <v>111115</v>
      </c>
      <c r="AV20" s="27">
        <v>114718</v>
      </c>
      <c r="AW20" s="27">
        <v>109386</v>
      </c>
      <c r="AX20" s="27">
        <v>112004</v>
      </c>
      <c r="AY20" s="27">
        <v>113641</v>
      </c>
      <c r="AZ20" s="27">
        <v>113649</v>
      </c>
      <c r="BA20" s="27">
        <v>110780</v>
      </c>
      <c r="BC20" s="132">
        <f t="shared" si="3"/>
        <v>110780</v>
      </c>
      <c r="BD20" s="133">
        <f t="shared" ref="BD20:BN21" si="54">$BA20</f>
        <v>110780</v>
      </c>
      <c r="BE20" s="133">
        <f t="shared" si="54"/>
        <v>110780</v>
      </c>
      <c r="BF20" s="134">
        <f t="shared" si="54"/>
        <v>110780</v>
      </c>
      <c r="BG20" s="132">
        <f t="shared" si="54"/>
        <v>110780</v>
      </c>
      <c r="BH20" s="133">
        <f t="shared" si="54"/>
        <v>110780</v>
      </c>
      <c r="BI20" s="133">
        <f t="shared" si="54"/>
        <v>110780</v>
      </c>
      <c r="BJ20" s="134">
        <f t="shared" si="54"/>
        <v>110780</v>
      </c>
      <c r="BK20" s="132">
        <f t="shared" si="54"/>
        <v>110780</v>
      </c>
      <c r="BL20" s="133">
        <f t="shared" si="54"/>
        <v>110780</v>
      </c>
      <c r="BM20" s="133">
        <f t="shared" si="54"/>
        <v>110780</v>
      </c>
      <c r="BN20" s="134">
        <f t="shared" si="54"/>
        <v>110780</v>
      </c>
    </row>
    <row r="21" spans="1:66" ht="14.25" customHeight="1">
      <c r="A21" s="21">
        <v>41639</v>
      </c>
      <c r="B21" s="31">
        <v>331209.06141561503</v>
      </c>
      <c r="C21" s="6">
        <v>-0.54850216134040863</v>
      </c>
      <c r="D21" s="6">
        <v>21.5</v>
      </c>
      <c r="E21" s="6">
        <v>0.60000000000000142</v>
      </c>
      <c r="F21" s="6">
        <f t="shared" si="10"/>
        <v>21.45137557267622</v>
      </c>
      <c r="G21" s="6"/>
      <c r="H21" s="21">
        <v>38168</v>
      </c>
      <c r="I21" s="35">
        <v>3.5633158386821009</v>
      </c>
      <c r="J21" s="37">
        <v>17.190000000000001</v>
      </c>
      <c r="K21" s="37">
        <v>17.190000000000001</v>
      </c>
      <c r="L21" s="37">
        <v>17.190000000000001</v>
      </c>
      <c r="N21" s="21">
        <v>41639</v>
      </c>
      <c r="O21" s="6">
        <f t="shared" si="2"/>
        <v>21.5</v>
      </c>
      <c r="P21" s="6">
        <f t="shared" si="14"/>
        <v>21.5</v>
      </c>
      <c r="Q21" s="6">
        <f t="shared" si="15"/>
        <v>21.5</v>
      </c>
      <c r="R21" s="6">
        <f t="shared" si="16"/>
        <v>21.5</v>
      </c>
      <c r="S21" s="6">
        <f t="shared" si="1"/>
        <v>-0.54850216134040863</v>
      </c>
      <c r="T21" s="3"/>
      <c r="U21" s="21">
        <v>38168</v>
      </c>
      <c r="V21" s="37">
        <v>17.190000000000001</v>
      </c>
      <c r="W21" s="37">
        <v>17.190000000000001</v>
      </c>
      <c r="X21" s="37">
        <v>17.190000000000001</v>
      </c>
      <c r="AA21" s="43" t="s">
        <v>145</v>
      </c>
      <c r="AB21" s="43" t="s">
        <v>146</v>
      </c>
      <c r="AC21" s="55"/>
      <c r="AD21" s="27">
        <v>83161</v>
      </c>
      <c r="AE21" s="27">
        <v>84367</v>
      </c>
      <c r="AF21" s="27">
        <v>85613</v>
      </c>
      <c r="AG21" s="27">
        <v>87697</v>
      </c>
      <c r="AH21" s="27">
        <v>90216</v>
      </c>
      <c r="AI21" s="27">
        <v>92937</v>
      </c>
      <c r="AJ21" s="27">
        <v>95490</v>
      </c>
      <c r="AK21" s="27">
        <v>98427</v>
      </c>
      <c r="AL21" s="27">
        <v>101955</v>
      </c>
      <c r="AM21" s="27">
        <v>104566</v>
      </c>
      <c r="AN21" s="27">
        <v>105846</v>
      </c>
      <c r="AO21" s="27">
        <v>107991</v>
      </c>
      <c r="AP21" s="27">
        <v>108500</v>
      </c>
      <c r="AQ21" s="27">
        <v>109937</v>
      </c>
      <c r="AR21" s="27">
        <v>110739</v>
      </c>
      <c r="AS21" s="27">
        <v>108337</v>
      </c>
      <c r="AT21" s="27">
        <v>110855</v>
      </c>
      <c r="AU21" s="27">
        <v>112321</v>
      </c>
      <c r="AV21" s="27">
        <v>115267</v>
      </c>
      <c r="AW21" s="27">
        <v>116484</v>
      </c>
      <c r="AX21" s="27">
        <v>116887</v>
      </c>
      <c r="AY21" s="27">
        <v>108443</v>
      </c>
      <c r="AZ21" s="27">
        <v>116884</v>
      </c>
      <c r="BA21" s="27">
        <v>117302</v>
      </c>
      <c r="BC21" s="132">
        <f t="shared" si="3"/>
        <v>117302</v>
      </c>
      <c r="BD21" s="133">
        <f t="shared" si="54"/>
        <v>117302</v>
      </c>
      <c r="BE21" s="133">
        <f t="shared" si="54"/>
        <v>117302</v>
      </c>
      <c r="BF21" s="134">
        <f t="shared" si="54"/>
        <v>117302</v>
      </c>
      <c r="BG21" s="132">
        <f t="shared" si="54"/>
        <v>117302</v>
      </c>
      <c r="BH21" s="133">
        <f t="shared" si="54"/>
        <v>117302</v>
      </c>
      <c r="BI21" s="133">
        <f t="shared" si="54"/>
        <v>117302</v>
      </c>
      <c r="BJ21" s="134">
        <f t="shared" si="54"/>
        <v>117302</v>
      </c>
      <c r="BK21" s="132">
        <f t="shared" si="54"/>
        <v>117302</v>
      </c>
      <c r="BL21" s="133">
        <f t="shared" si="54"/>
        <v>117302</v>
      </c>
      <c r="BM21" s="133">
        <f t="shared" si="54"/>
        <v>117302</v>
      </c>
      <c r="BN21" s="134">
        <f t="shared" si="54"/>
        <v>117302</v>
      </c>
    </row>
    <row r="22" spans="1:66" ht="14.25" customHeight="1">
      <c r="A22" s="21">
        <v>42004</v>
      </c>
      <c r="B22" s="31">
        <v>331342.77143817488</v>
      </c>
      <c r="C22" s="6">
        <v>-0.10388062948614163</v>
      </c>
      <c r="D22" s="6">
        <v>19.399999999999999</v>
      </c>
      <c r="E22" s="6">
        <v>-2.1000000000000014</v>
      </c>
      <c r="F22" s="6">
        <f t="shared" si="10"/>
        <v>21.861566640727634</v>
      </c>
      <c r="G22" s="6"/>
      <c r="H22" s="21">
        <v>38260</v>
      </c>
      <c r="I22" s="35">
        <v>3.4414640494622404</v>
      </c>
      <c r="J22" s="37">
        <v>17.38</v>
      </c>
      <c r="K22" s="37">
        <v>17.38</v>
      </c>
      <c r="L22" s="37">
        <v>17.38</v>
      </c>
      <c r="N22" s="21">
        <v>42004</v>
      </c>
      <c r="O22" s="6">
        <f t="shared" si="2"/>
        <v>19.399999999999999</v>
      </c>
      <c r="P22" s="6">
        <f t="shared" si="14"/>
        <v>19.399999999999999</v>
      </c>
      <c r="Q22" s="6">
        <f t="shared" si="15"/>
        <v>19.399999999999999</v>
      </c>
      <c r="R22" s="6">
        <f t="shared" si="16"/>
        <v>19.399999999999999</v>
      </c>
      <c r="S22" s="6">
        <f t="shared" si="1"/>
        <v>-0.10388062948614163</v>
      </c>
      <c r="T22" s="3"/>
      <c r="U22" s="21">
        <v>38260</v>
      </c>
      <c r="V22" s="37">
        <v>17.38</v>
      </c>
      <c r="W22" s="37">
        <v>17.38</v>
      </c>
      <c r="X22" s="37">
        <v>17.38</v>
      </c>
      <c r="AA22" s="43" t="s">
        <v>149</v>
      </c>
      <c r="AB22" s="43" t="s">
        <v>150</v>
      </c>
      <c r="AC22" s="55"/>
      <c r="AD22" s="27">
        <v>69531</v>
      </c>
      <c r="AE22" s="27">
        <v>69101</v>
      </c>
      <c r="AF22" s="27">
        <v>69322</v>
      </c>
      <c r="AG22" s="27">
        <v>70640</v>
      </c>
      <c r="AH22" s="27">
        <v>71445</v>
      </c>
      <c r="AI22" s="27">
        <v>72582</v>
      </c>
      <c r="AJ22" s="27">
        <v>74326</v>
      </c>
      <c r="AK22" s="27">
        <v>77313</v>
      </c>
      <c r="AL22" s="27">
        <v>80141</v>
      </c>
      <c r="AM22" s="27">
        <v>80067</v>
      </c>
      <c r="AN22" s="27">
        <v>81572</v>
      </c>
      <c r="AO22" s="27">
        <v>83206</v>
      </c>
      <c r="AP22" s="27">
        <v>83999</v>
      </c>
      <c r="AQ22" s="27">
        <v>84911</v>
      </c>
      <c r="AR22" s="27">
        <v>82446</v>
      </c>
      <c r="AS22" s="27">
        <v>86804</v>
      </c>
      <c r="AT22" s="27">
        <v>90833</v>
      </c>
      <c r="AU22" s="27">
        <v>94728</v>
      </c>
      <c r="AV22" s="27">
        <v>100045</v>
      </c>
      <c r="AW22" s="27">
        <v>98649</v>
      </c>
      <c r="AX22" s="27">
        <v>99436</v>
      </c>
      <c r="AY22" s="27">
        <v>100068</v>
      </c>
      <c r="AZ22" s="27">
        <v>102105</v>
      </c>
      <c r="BA22" s="27">
        <v>101076</v>
      </c>
      <c r="BC22" s="132">
        <f t="shared" si="3"/>
        <v>101076</v>
      </c>
      <c r="BD22" s="133">
        <f t="shared" ref="BD22:BN22" si="55">$BA22</f>
        <v>101076</v>
      </c>
      <c r="BE22" s="133">
        <f t="shared" si="55"/>
        <v>101076</v>
      </c>
      <c r="BF22" s="134">
        <f t="shared" si="55"/>
        <v>101076</v>
      </c>
      <c r="BG22" s="132">
        <f t="shared" si="55"/>
        <v>101076</v>
      </c>
      <c r="BH22" s="133">
        <f t="shared" si="55"/>
        <v>101076</v>
      </c>
      <c r="BI22" s="133">
        <f t="shared" si="55"/>
        <v>101076</v>
      </c>
      <c r="BJ22" s="134">
        <f t="shared" si="55"/>
        <v>101076</v>
      </c>
      <c r="BK22" s="132">
        <f t="shared" si="55"/>
        <v>101076</v>
      </c>
      <c r="BL22" s="133">
        <f t="shared" si="55"/>
        <v>101076</v>
      </c>
      <c r="BM22" s="133">
        <f t="shared" si="55"/>
        <v>101076</v>
      </c>
      <c r="BN22" s="134">
        <f t="shared" si="55"/>
        <v>101076</v>
      </c>
    </row>
    <row r="23" spans="1:66" ht="14.25" customHeight="1">
      <c r="A23" s="21">
        <v>42369</v>
      </c>
      <c r="B23" s="31">
        <v>339696.07322906982</v>
      </c>
      <c r="C23" s="6">
        <v>2.4371332441033076</v>
      </c>
      <c r="D23" s="6">
        <v>17.225642594526882</v>
      </c>
      <c r="E23" s="6">
        <v>-2.174357405473117</v>
      </c>
      <c r="F23" s="6">
        <f t="shared" si="10"/>
        <v>18.676807818092296</v>
      </c>
      <c r="G23" s="6"/>
      <c r="H23" s="21">
        <v>38352</v>
      </c>
      <c r="I23" s="35">
        <v>4.9468876416354277</v>
      </c>
      <c r="J23" s="37">
        <v>18.52</v>
      </c>
      <c r="K23" s="37">
        <v>18.52</v>
      </c>
      <c r="L23" s="37">
        <v>18.52</v>
      </c>
      <c r="N23" s="21">
        <v>42369</v>
      </c>
      <c r="O23" s="6">
        <f t="shared" si="2"/>
        <v>17.225642594526882</v>
      </c>
      <c r="P23" s="6">
        <f t="shared" si="14"/>
        <v>17.225642594526882</v>
      </c>
      <c r="Q23" s="6">
        <f t="shared" si="15"/>
        <v>17.225642594526882</v>
      </c>
      <c r="R23" s="6">
        <f t="shared" si="16"/>
        <v>17.225642594526882</v>
      </c>
      <c r="S23" s="6">
        <f t="shared" si="1"/>
        <v>2.4371332441033076</v>
      </c>
      <c r="T23" s="3"/>
      <c r="U23" s="21">
        <v>38352</v>
      </c>
      <c r="V23" s="37">
        <v>18.52</v>
      </c>
      <c r="W23" s="37">
        <v>18.52</v>
      </c>
      <c r="X23" s="37">
        <v>18.52</v>
      </c>
      <c r="AA23" s="43" t="s">
        <v>153</v>
      </c>
      <c r="AB23" s="43" t="s">
        <v>154</v>
      </c>
      <c r="AC23" s="55"/>
      <c r="AD23" s="27">
        <v>11199</v>
      </c>
      <c r="AE23" s="27">
        <v>12033</v>
      </c>
      <c r="AF23" s="27">
        <v>12857</v>
      </c>
      <c r="AG23" s="27">
        <v>14295</v>
      </c>
      <c r="AH23" s="27">
        <v>15929</v>
      </c>
      <c r="AI23" s="27">
        <v>16496</v>
      </c>
      <c r="AJ23" s="27">
        <v>17526</v>
      </c>
      <c r="AK23" s="27">
        <v>18424</v>
      </c>
      <c r="AL23" s="27">
        <v>19866</v>
      </c>
      <c r="AM23" s="27">
        <v>20484</v>
      </c>
      <c r="AN23" s="27">
        <v>19990</v>
      </c>
      <c r="AO23" s="27">
        <v>20467</v>
      </c>
      <c r="AP23" s="27">
        <v>20790</v>
      </c>
      <c r="AQ23" s="27">
        <v>20583</v>
      </c>
      <c r="AR23" s="27">
        <v>19263</v>
      </c>
      <c r="AS23" s="27">
        <v>22440</v>
      </c>
      <c r="AT23" s="27">
        <v>23685</v>
      </c>
      <c r="AU23" s="27">
        <v>25316</v>
      </c>
      <c r="AV23" s="27">
        <v>25547</v>
      </c>
      <c r="AW23" s="27">
        <v>25659</v>
      </c>
      <c r="AX23" s="27">
        <v>26957</v>
      </c>
      <c r="AY23" s="27">
        <v>27507</v>
      </c>
      <c r="AZ23" s="27">
        <v>27084</v>
      </c>
      <c r="BA23" s="27">
        <v>26411</v>
      </c>
      <c r="BC23" s="119">
        <f t="shared" si="3"/>
        <v>26411</v>
      </c>
      <c r="BD23" s="120">
        <f t="shared" ref="BD23:BD25" si="56">(BD$27-SUM(BD$20:BD$22))/(BC$27-SUM(BC$20:BC$22))*BC23</f>
        <v>24829.178133119825</v>
      </c>
      <c r="BE23" s="120">
        <f t="shared" ref="BE23:BF23" si="57">(BE$27-SUM(BE$20:BE$22))/(BD$27-SUM(BD$20:BD$22))*BD23</f>
        <v>23767.032170200375</v>
      </c>
      <c r="BF23" s="121">
        <f t="shared" si="57"/>
        <v>23543.78992212352</v>
      </c>
      <c r="BG23" s="119">
        <f t="shared" ref="BG23:BG26" si="58">$BA23</f>
        <v>26411</v>
      </c>
      <c r="BH23" s="120">
        <f t="shared" ref="BH23:BJ23" si="59">(BH$27-SUM(BH$20:BH$22))/(BG$27-SUM(BG$20:BG$22))*BG23</f>
        <v>24829.178133119825</v>
      </c>
      <c r="BI23" s="120">
        <f t="shared" si="59"/>
        <v>24136.49941101074</v>
      </c>
      <c r="BJ23" s="121">
        <f t="shared" si="59"/>
        <v>24021.295233008939</v>
      </c>
      <c r="BK23" s="119">
        <f t="shared" ref="BK23:BK26" si="60">$BA23</f>
        <v>26411</v>
      </c>
      <c r="BL23" s="120">
        <f t="shared" ref="BL23:BN23" si="61">(BL$27-SUM(BL$20:BL$22))/(BK$27-SUM(BK$20:BK$22))*BK23</f>
        <v>24829.178133119825</v>
      </c>
      <c r="BM23" s="120">
        <f>(BM$27-SUM(BM$20:BM$22))/(BL$27-SUM(BL$20:BL$22))*BL23</f>
        <v>24442.858742900498</v>
      </c>
      <c r="BN23" s="121">
        <f t="shared" si="61"/>
        <v>24424.715842913745</v>
      </c>
    </row>
    <row r="24" spans="1:66" ht="14.25" customHeight="1">
      <c r="A24" s="21">
        <v>42735</v>
      </c>
      <c r="B24" s="31">
        <v>351168.65961715468</v>
      </c>
      <c r="C24" s="6">
        <v>3.4835344484677222</v>
      </c>
      <c r="D24" s="6">
        <v>14.1</v>
      </c>
      <c r="E24" s="6">
        <v>-3.125642594526882</v>
      </c>
      <c r="F24" s="6">
        <f t="shared" si="10"/>
        <v>16.055741738476012</v>
      </c>
      <c r="G24" s="6"/>
      <c r="H24" s="21">
        <v>38442</v>
      </c>
      <c r="I24" s="35">
        <v>1.3320108326992681</v>
      </c>
      <c r="J24" s="37">
        <v>19.02</v>
      </c>
      <c r="K24" s="37">
        <v>19.02</v>
      </c>
      <c r="L24" s="37">
        <v>19.02</v>
      </c>
      <c r="N24" s="21">
        <v>42735</v>
      </c>
      <c r="O24" s="6">
        <f t="shared" si="2"/>
        <v>14.1</v>
      </c>
      <c r="P24" s="6">
        <f t="shared" si="14"/>
        <v>14.1</v>
      </c>
      <c r="Q24" s="6">
        <f t="shared" si="15"/>
        <v>14.1</v>
      </c>
      <c r="R24" s="6">
        <f t="shared" si="16"/>
        <v>14.1</v>
      </c>
      <c r="S24" s="6">
        <f t="shared" si="1"/>
        <v>3.4835344484677222</v>
      </c>
      <c r="T24" s="3"/>
      <c r="U24" s="21">
        <v>38442</v>
      </c>
      <c r="V24" s="37">
        <v>19.02</v>
      </c>
      <c r="W24" s="37">
        <v>19.02</v>
      </c>
      <c r="X24" s="37">
        <v>19.02</v>
      </c>
      <c r="AA24" s="43" t="s">
        <v>157</v>
      </c>
      <c r="AB24" s="43" t="s">
        <v>158</v>
      </c>
      <c r="AC24" s="55"/>
      <c r="AD24" s="27">
        <v>10392</v>
      </c>
      <c r="AE24" s="27">
        <v>10365</v>
      </c>
      <c r="AF24" s="27">
        <v>10905</v>
      </c>
      <c r="AG24" s="27">
        <v>11615</v>
      </c>
      <c r="AH24" s="27">
        <v>12088</v>
      </c>
      <c r="AI24" s="27">
        <v>12496</v>
      </c>
      <c r="AJ24" s="27">
        <v>13148</v>
      </c>
      <c r="AK24" s="27">
        <v>14583</v>
      </c>
      <c r="AL24" s="27">
        <v>15166</v>
      </c>
      <c r="AM24" s="27">
        <v>13424</v>
      </c>
      <c r="AN24" s="27">
        <v>13587</v>
      </c>
      <c r="AO24" s="27">
        <v>14489</v>
      </c>
      <c r="AP24" s="27">
        <v>14939</v>
      </c>
      <c r="AQ24" s="27">
        <v>15242</v>
      </c>
      <c r="AR24" s="27">
        <v>12074</v>
      </c>
      <c r="AS24" s="27">
        <v>15646</v>
      </c>
      <c r="AT24" s="27">
        <v>17513</v>
      </c>
      <c r="AU24" s="27">
        <v>17525</v>
      </c>
      <c r="AV24" s="27">
        <v>19703</v>
      </c>
      <c r="AW24" s="27">
        <v>19871</v>
      </c>
      <c r="AX24" s="27">
        <v>20910</v>
      </c>
      <c r="AY24" s="27">
        <v>21793</v>
      </c>
      <c r="AZ24" s="27">
        <v>21047</v>
      </c>
      <c r="BA24" s="27">
        <v>19461</v>
      </c>
      <c r="BC24" s="119">
        <f t="shared" si="3"/>
        <v>19461</v>
      </c>
      <c r="BD24" s="120">
        <f t="shared" si="56"/>
        <v>18295.431284262049</v>
      </c>
      <c r="BE24" s="120">
        <f t="shared" ref="BE24:BF24" si="62">(BE$27-SUM(BE$20:BE$22))/(BD$27-SUM(BD$20:BD$22))*BD24</f>
        <v>17512.786833677994</v>
      </c>
      <c r="BF24" s="121">
        <f t="shared" si="62"/>
        <v>17348.290321246674</v>
      </c>
      <c r="BG24" s="119">
        <f t="shared" si="58"/>
        <v>19461</v>
      </c>
      <c r="BH24" s="120">
        <f t="shared" ref="BH24:BJ24" si="63">(BH$27-SUM(BH$20:BH$22))/(BG$27-SUM(BG$20:BG$22))*BG24</f>
        <v>18295.431284262049</v>
      </c>
      <c r="BI24" s="120">
        <f t="shared" si="63"/>
        <v>17785.029534575748</v>
      </c>
      <c r="BJ24" s="121">
        <f t="shared" si="63"/>
        <v>17700.14109763307</v>
      </c>
      <c r="BK24" s="119">
        <f t="shared" si="60"/>
        <v>19461</v>
      </c>
      <c r="BL24" s="120">
        <f t="shared" ref="BL24:BN24" si="64">(BL$27-SUM(BL$20:BL$22))/(BK$27-SUM(BK$20:BK$22))*BK24</f>
        <v>18295.431284262049</v>
      </c>
      <c r="BM24" s="120">
        <f t="shared" si="64"/>
        <v>18010.771042201606</v>
      </c>
      <c r="BN24" s="121">
        <f t="shared" si="64"/>
        <v>17997.402408804832</v>
      </c>
    </row>
    <row r="25" spans="1:66" ht="14.25" customHeight="1">
      <c r="A25" s="21">
        <v>43100</v>
      </c>
      <c r="B25" s="31">
        <v>366426.12785793905</v>
      </c>
      <c r="C25" s="6">
        <v>3.1391817148095527</v>
      </c>
      <c r="D25" s="6">
        <v>11.2</v>
      </c>
      <c r="E25" s="6">
        <v>-2.9000000000000004</v>
      </c>
      <c r="F25" s="6">
        <f t="shared" si="10"/>
        <v>13.077103325947801</v>
      </c>
      <c r="G25" s="6"/>
      <c r="H25" s="21">
        <v>38533</v>
      </c>
      <c r="I25" s="35">
        <v>5.0810752886051063</v>
      </c>
      <c r="J25" s="37">
        <v>17.18</v>
      </c>
      <c r="K25" s="37">
        <v>17.18</v>
      </c>
      <c r="L25" s="37">
        <v>17.18</v>
      </c>
      <c r="N25" s="21">
        <v>43100</v>
      </c>
      <c r="O25" s="6">
        <f t="shared" si="2"/>
        <v>11.2</v>
      </c>
      <c r="P25" s="6">
        <f t="shared" si="14"/>
        <v>11.2</v>
      </c>
      <c r="Q25" s="6">
        <f t="shared" si="15"/>
        <v>11.2</v>
      </c>
      <c r="R25" s="6">
        <f t="shared" si="16"/>
        <v>11.2</v>
      </c>
      <c r="S25" s="6">
        <f t="shared" si="1"/>
        <v>3.1391817148095527</v>
      </c>
      <c r="T25" s="3"/>
      <c r="U25" s="21">
        <v>38533</v>
      </c>
      <c r="V25" s="37">
        <v>17.18</v>
      </c>
      <c r="W25" s="37">
        <v>17.18</v>
      </c>
      <c r="X25" s="37">
        <v>17.18</v>
      </c>
      <c r="AA25" s="55"/>
      <c r="AB25" s="55" t="s">
        <v>278</v>
      </c>
      <c r="AC25" s="55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147">
        <v>231936</v>
      </c>
      <c r="AO25" s="27">
        <v>220637</v>
      </c>
      <c r="AP25" s="27">
        <v>212851</v>
      </c>
      <c r="AQ25" s="27">
        <v>206658</v>
      </c>
      <c r="AR25" s="27">
        <v>198911</v>
      </c>
      <c r="AS25" s="27">
        <v>194142</v>
      </c>
      <c r="AT25" s="27">
        <v>193524</v>
      </c>
      <c r="AU25" s="27">
        <v>192233</v>
      </c>
      <c r="AV25" s="27">
        <v>192665</v>
      </c>
      <c r="AW25" s="27">
        <v>183356</v>
      </c>
      <c r="AX25" s="27">
        <v>208440</v>
      </c>
      <c r="AY25" s="27">
        <v>201396</v>
      </c>
      <c r="AZ25" s="27">
        <v>186502</v>
      </c>
      <c r="BA25" s="27">
        <v>183968</v>
      </c>
      <c r="BC25" s="119">
        <f t="shared" si="3"/>
        <v>183968</v>
      </c>
      <c r="BD25" s="120">
        <f t="shared" si="56"/>
        <v>172949.68925045579</v>
      </c>
      <c r="BE25" s="120">
        <f t="shared" ref="BE25:BF25" si="65">(BE$27-SUM(BE$20:BE$22))/(BD$27-SUM(BD$20:BD$22))*BD25</f>
        <v>165551.2238948704</v>
      </c>
      <c r="BF25" s="121">
        <f t="shared" si="65"/>
        <v>163996.21159339743</v>
      </c>
      <c r="BG25" s="119">
        <f t="shared" si="58"/>
        <v>183968</v>
      </c>
      <c r="BH25" s="120">
        <f t="shared" ref="BH25:BJ25" si="66">(BH$27-SUM(BH$20:BH$22))/(BG$27-SUM(BG$20:BG$22))*BG25</f>
        <v>172949.68925045579</v>
      </c>
      <c r="BI25" s="120">
        <f t="shared" si="66"/>
        <v>168124.77845007097</v>
      </c>
      <c r="BJ25" s="121">
        <f t="shared" si="66"/>
        <v>167322.31424127027</v>
      </c>
      <c r="BK25" s="119">
        <f t="shared" si="60"/>
        <v>183968</v>
      </c>
      <c r="BL25" s="120">
        <f t="shared" ref="BL25:BN25" si="67">(BL$27-SUM(BL$20:BL$22))/(BK$27-SUM(BK$20:BK$22))*BK25</f>
        <v>172949.68925045579</v>
      </c>
      <c r="BM25" s="120">
        <f t="shared" si="67"/>
        <v>170258.74965786675</v>
      </c>
      <c r="BN25" s="121">
        <f t="shared" si="67"/>
        <v>170132.37379081277</v>
      </c>
    </row>
    <row r="26" spans="1:66" ht="14.25" customHeight="1">
      <c r="A26" s="21">
        <v>43465</v>
      </c>
      <c r="B26" s="31">
        <v>382623.83564079198</v>
      </c>
      <c r="C26" s="6">
        <v>2.6308045773756561</v>
      </c>
      <c r="D26" s="6">
        <v>8.9</v>
      </c>
      <c r="E26" s="6">
        <v>-2.2999999999999989</v>
      </c>
      <c r="F26" s="6">
        <f t="shared" si="10"/>
        <v>10.394129525918332</v>
      </c>
      <c r="G26" s="6"/>
      <c r="H26" s="21">
        <v>38625</v>
      </c>
      <c r="I26" s="35">
        <v>5.4673647442487976</v>
      </c>
      <c r="J26" s="37">
        <v>17</v>
      </c>
      <c r="K26" s="37">
        <v>17</v>
      </c>
      <c r="L26" s="37">
        <v>17</v>
      </c>
      <c r="N26" s="21">
        <v>43465</v>
      </c>
      <c r="O26" s="6">
        <f t="shared" si="2"/>
        <v>8.9</v>
      </c>
      <c r="P26" s="6">
        <f t="shared" si="14"/>
        <v>8.9</v>
      </c>
      <c r="Q26" s="6">
        <f t="shared" si="15"/>
        <v>8.9</v>
      </c>
      <c r="R26" s="6">
        <f t="shared" si="16"/>
        <v>8.9</v>
      </c>
      <c r="S26" s="6">
        <f t="shared" si="1"/>
        <v>2.6308045773756561</v>
      </c>
      <c r="T26" s="3"/>
      <c r="U26" s="21">
        <v>38625</v>
      </c>
      <c r="V26" s="37">
        <v>17</v>
      </c>
      <c r="W26" s="37">
        <v>17</v>
      </c>
      <c r="X26" s="37">
        <v>17</v>
      </c>
      <c r="AA26" s="55"/>
      <c r="AB26" s="55" t="s">
        <v>283</v>
      </c>
      <c r="AC26" s="55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147">
        <v>32339</v>
      </c>
      <c r="AO26" s="27">
        <v>30944</v>
      </c>
      <c r="AP26" s="27">
        <v>28768</v>
      </c>
      <c r="AQ26" s="27">
        <v>25394</v>
      </c>
      <c r="AR26" s="27">
        <v>22731</v>
      </c>
      <c r="AS26" s="27">
        <v>21204</v>
      </c>
      <c r="AT26" s="27">
        <v>19891</v>
      </c>
      <c r="AU26" s="27">
        <v>19578</v>
      </c>
      <c r="AV26" s="27">
        <v>19476</v>
      </c>
      <c r="AW26" s="27">
        <v>19412</v>
      </c>
      <c r="AX26" s="27">
        <v>19268</v>
      </c>
      <c r="AY26" s="27">
        <v>19209</v>
      </c>
      <c r="AZ26" s="27">
        <v>19213</v>
      </c>
      <c r="BA26" s="27">
        <v>19196</v>
      </c>
      <c r="BC26" s="119">
        <f t="shared" si="3"/>
        <v>19196</v>
      </c>
      <c r="BD26" s="120">
        <f>(BD$27-SUM(BD$20:BD$22))/(BC$27-SUM(BC$20:BC$22))*BC26</f>
        <v>18046.302807291213</v>
      </c>
      <c r="BE26" s="120">
        <f t="shared" ref="BE26:BF26" si="68">(BE$27-SUM(BE$20:BE$22))/(BD$27-SUM(BD$20:BD$22))*BD26</f>
        <v>17274.315608616351</v>
      </c>
      <c r="BF26" s="121">
        <f t="shared" si="68"/>
        <v>17112.059041501008</v>
      </c>
      <c r="BG26" s="119">
        <f t="shared" si="58"/>
        <v>19196</v>
      </c>
      <c r="BH26" s="120">
        <f>(BH$27-SUM(BH$20:BH$22))/(BG$27-SUM(BG$20:BG$22))*BG26</f>
        <v>18046.302807291213</v>
      </c>
      <c r="BI26" s="120">
        <f t="shared" ref="BI26:BJ26" si="69">(BI$27-SUM(BI$20:BI$22))/(BH$27-SUM(BH$20:BH$22))*BH26</f>
        <v>17542.851186769236</v>
      </c>
      <c r="BJ26" s="121">
        <f t="shared" si="69"/>
        <v>17459.118673766225</v>
      </c>
      <c r="BK26" s="119">
        <f t="shared" si="60"/>
        <v>19196</v>
      </c>
      <c r="BL26" s="120">
        <f>(BL$27-SUM(BL$20:BL$22))/(BK$27-SUM(BK$20:BK$22))*BK26</f>
        <v>18046.302807291213</v>
      </c>
      <c r="BM26" s="120">
        <f t="shared" ref="BM26:BN26" si="70">(BM$27-SUM(BM$20:BM$22))/(BL$27-SUM(BL$20:BL$22))*BL26</f>
        <v>17765.518777354813</v>
      </c>
      <c r="BN26" s="121">
        <f t="shared" si="70"/>
        <v>17752.332184338808</v>
      </c>
    </row>
    <row r="27" spans="1:66" ht="14.25" customHeight="1">
      <c r="A27" s="21">
        <v>43830</v>
      </c>
      <c r="B27" s="31">
        <v>400102</v>
      </c>
      <c r="C27" s="6">
        <v>2.9359923102297785</v>
      </c>
      <c r="D27" s="6">
        <v>7.880732391973619</v>
      </c>
      <c r="E27" s="6">
        <v>-1.0192676080263814</v>
      </c>
      <c r="F27" s="6">
        <f t="shared" si="10"/>
        <v>7.963844882762908</v>
      </c>
      <c r="G27" s="6"/>
      <c r="H27" s="21">
        <v>38717</v>
      </c>
      <c r="I27" s="35">
        <v>5.1321934870718309</v>
      </c>
      <c r="J27" s="37">
        <v>17.850000000000001</v>
      </c>
      <c r="K27" s="37">
        <v>17.850000000000001</v>
      </c>
      <c r="L27" s="37">
        <v>17.850000000000001</v>
      </c>
      <c r="N27" s="21">
        <v>43830</v>
      </c>
      <c r="O27" s="6">
        <f t="shared" si="2"/>
        <v>7.880732391973619</v>
      </c>
      <c r="P27" s="6">
        <f t="shared" si="14"/>
        <v>7.8807323919736199</v>
      </c>
      <c r="Q27" s="6">
        <f t="shared" si="15"/>
        <v>7.8807323919736199</v>
      </c>
      <c r="R27" s="6">
        <f t="shared" si="16"/>
        <v>7.8807323919736199</v>
      </c>
      <c r="S27" s="6">
        <f t="shared" si="1"/>
        <v>2.9359923102297785</v>
      </c>
      <c r="T27" s="3"/>
      <c r="U27" s="21">
        <v>38717</v>
      </c>
      <c r="V27" s="37">
        <v>17.850000000000001</v>
      </c>
      <c r="W27" s="37">
        <v>17.850000000000001</v>
      </c>
      <c r="X27" s="37">
        <v>17.850000000000001</v>
      </c>
      <c r="AA27" s="55"/>
      <c r="AB27" s="123" t="s">
        <v>287</v>
      </c>
      <c r="AC27" s="153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154">
        <v>1432454</v>
      </c>
      <c r="AO27" s="57">
        <v>1411238</v>
      </c>
      <c r="AP27" s="57">
        <v>1395116</v>
      </c>
      <c r="AQ27" s="57">
        <v>1364298</v>
      </c>
      <c r="AR27" s="57">
        <v>1342149</v>
      </c>
      <c r="AS27" s="57">
        <v>1391002</v>
      </c>
      <c r="AT27" s="57">
        <v>1443141</v>
      </c>
      <c r="AU27" s="57">
        <v>1476832</v>
      </c>
      <c r="AV27" s="57">
        <v>1517580</v>
      </c>
      <c r="AW27" s="57">
        <v>1507221</v>
      </c>
      <c r="AX27" s="57">
        <v>1585473</v>
      </c>
      <c r="AY27" s="57">
        <v>1585569</v>
      </c>
      <c r="AZ27" s="57">
        <v>1562312</v>
      </c>
      <c r="BA27" s="57">
        <v>1515889</v>
      </c>
      <c r="BC27" s="156">
        <f t="shared" ref="BC27:BN27" si="71">(100-BC4)*BC28/100</f>
        <v>1516355.3272536204</v>
      </c>
      <c r="BD27" s="157">
        <f t="shared" si="71"/>
        <v>1445251.0641605351</v>
      </c>
      <c r="BE27" s="157">
        <f t="shared" si="71"/>
        <v>1397506.6830946461</v>
      </c>
      <c r="BF27" s="158">
        <f t="shared" si="71"/>
        <v>1387471.7506707723</v>
      </c>
      <c r="BG27" s="156">
        <f t="shared" si="71"/>
        <v>1516355.3272536204</v>
      </c>
      <c r="BH27" s="157">
        <f t="shared" si="71"/>
        <v>1445251.0641605351</v>
      </c>
      <c r="BI27" s="157">
        <f t="shared" si="71"/>
        <v>1414114.5556022315</v>
      </c>
      <c r="BJ27" s="158">
        <f t="shared" si="71"/>
        <v>1408936.0280109935</v>
      </c>
      <c r="BK27" s="156">
        <f t="shared" si="71"/>
        <v>1516355.3272536204</v>
      </c>
      <c r="BL27" s="157">
        <f t="shared" si="71"/>
        <v>1445251.0641605351</v>
      </c>
      <c r="BM27" s="157">
        <f t="shared" si="71"/>
        <v>1427885.6729396561</v>
      </c>
      <c r="BN27" s="158">
        <f t="shared" si="71"/>
        <v>1427070.1338698403</v>
      </c>
    </row>
    <row r="28" spans="1:66" ht="14.25" customHeight="1">
      <c r="A28" s="85">
        <v>44196</v>
      </c>
      <c r="B28" s="90">
        <f>SUM(bdp!AP109:AP112)</f>
        <v>262787.27918286494</v>
      </c>
      <c r="C28" s="69">
        <f>(B28/B27-1)*100</f>
        <v>-34.31992862248503</v>
      </c>
      <c r="D28" s="69">
        <f>D27+E28</f>
        <v>22.849129920912478</v>
      </c>
      <c r="E28" s="69">
        <f>B33+B34*C28</f>
        <v>14.96839752893886</v>
      </c>
      <c r="H28" s="21">
        <v>38807</v>
      </c>
      <c r="I28" s="35">
        <v>6.5762501279509991</v>
      </c>
      <c r="J28" s="37">
        <v>17.71</v>
      </c>
      <c r="K28" s="37">
        <v>17.71</v>
      </c>
      <c r="L28" s="37">
        <v>17.71</v>
      </c>
      <c r="N28" s="85">
        <v>44196</v>
      </c>
      <c r="O28" s="69">
        <f t="shared" si="2"/>
        <v>22.849129920912478</v>
      </c>
      <c r="P28" s="69">
        <f t="shared" si="14"/>
        <v>15.586702615235376</v>
      </c>
      <c r="Q28" s="69">
        <f t="shared" si="15"/>
        <v>16.107365973375572</v>
      </c>
      <c r="R28" s="69">
        <f t="shared" si="16"/>
        <v>20.591346122216741</v>
      </c>
      <c r="S28" s="69">
        <f t="shared" si="1"/>
        <v>-34.31992862248503</v>
      </c>
      <c r="T28" s="3"/>
      <c r="U28" s="21">
        <v>38807</v>
      </c>
      <c r="V28" s="37">
        <v>17.71</v>
      </c>
      <c r="W28" s="37">
        <v>17.71</v>
      </c>
      <c r="X28" s="37">
        <v>17.71</v>
      </c>
      <c r="AA28" s="55"/>
      <c r="AB28" s="153" t="s">
        <v>47</v>
      </c>
      <c r="AC28" s="153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154">
        <v>1734879</v>
      </c>
      <c r="AO28" s="57">
        <v>1716571</v>
      </c>
      <c r="AP28" s="57">
        <v>1719440</v>
      </c>
      <c r="AQ28" s="57">
        <v>1709410</v>
      </c>
      <c r="AR28" s="57">
        <v>1670336</v>
      </c>
      <c r="AS28" s="57">
        <v>1676908</v>
      </c>
      <c r="AT28" s="57">
        <v>1685001</v>
      </c>
      <c r="AU28" s="57">
        <v>1670799</v>
      </c>
      <c r="AV28" s="57">
        <v>1671122</v>
      </c>
      <c r="AW28" s="57">
        <v>1653022</v>
      </c>
      <c r="AX28" s="57">
        <v>1697642</v>
      </c>
      <c r="AY28" s="57">
        <v>1697945</v>
      </c>
      <c r="AZ28" s="57">
        <v>1694065</v>
      </c>
      <c r="BA28" s="57">
        <v>1653866</v>
      </c>
      <c r="BC28" s="159">
        <f t="shared" ref="BC28:BN28" si="72">$BA$28</f>
        <v>1653866</v>
      </c>
      <c r="BD28" s="160">
        <f t="shared" si="72"/>
        <v>1653866</v>
      </c>
      <c r="BE28" s="160">
        <f t="shared" si="72"/>
        <v>1653866</v>
      </c>
      <c r="BF28" s="161">
        <f t="shared" si="72"/>
        <v>1653866</v>
      </c>
      <c r="BG28" s="159">
        <f t="shared" si="72"/>
        <v>1653866</v>
      </c>
      <c r="BH28" s="160">
        <f t="shared" si="72"/>
        <v>1653866</v>
      </c>
      <c r="BI28" s="160">
        <f t="shared" si="72"/>
        <v>1653866</v>
      </c>
      <c r="BJ28" s="161">
        <f t="shared" si="72"/>
        <v>1653866</v>
      </c>
      <c r="BK28" s="159">
        <f t="shared" si="72"/>
        <v>1653866</v>
      </c>
      <c r="BL28" s="160">
        <f t="shared" si="72"/>
        <v>1653866</v>
      </c>
      <c r="BM28" s="160">
        <f t="shared" si="72"/>
        <v>1653866</v>
      </c>
      <c r="BN28" s="161">
        <f t="shared" si="72"/>
        <v>1653866</v>
      </c>
    </row>
    <row r="29" spans="1:66" ht="14.25" customHeight="1">
      <c r="A29" s="85"/>
      <c r="B29" s="90"/>
      <c r="C29" s="69"/>
      <c r="D29" s="69"/>
      <c r="E29" s="69"/>
      <c r="H29" s="21">
        <v>38898</v>
      </c>
      <c r="I29" s="35">
        <v>4.1979744499520706</v>
      </c>
      <c r="J29" s="37">
        <v>15.59</v>
      </c>
      <c r="K29" s="37">
        <v>15.59</v>
      </c>
      <c r="L29" s="37">
        <v>15.59</v>
      </c>
      <c r="T29" s="3"/>
      <c r="U29" s="21">
        <v>38898</v>
      </c>
      <c r="V29" s="37">
        <v>15.59</v>
      </c>
      <c r="W29" s="37">
        <v>15.59</v>
      </c>
      <c r="X29" s="37">
        <v>15.59</v>
      </c>
      <c r="AN29" s="25">
        <f t="shared" ref="AN29:AZ29" si="73">1-AN27/AN28</f>
        <v>0.17432051457190967</v>
      </c>
      <c r="AO29" s="25">
        <f t="shared" si="73"/>
        <v>0.17787379607368414</v>
      </c>
      <c r="AP29" s="25">
        <f t="shared" si="73"/>
        <v>0.18862187689015031</v>
      </c>
      <c r="AQ29" s="25">
        <f t="shared" si="73"/>
        <v>0.20188954083572697</v>
      </c>
      <c r="AR29" s="25">
        <f t="shared" si="73"/>
        <v>0.1964796304456109</v>
      </c>
      <c r="AS29" s="25">
        <f t="shared" si="73"/>
        <v>0.170495936568971</v>
      </c>
      <c r="AT29" s="25">
        <f t="shared" si="73"/>
        <v>0.14353700680296333</v>
      </c>
      <c r="AU29" s="25">
        <f t="shared" si="73"/>
        <v>0.1160923606011256</v>
      </c>
      <c r="AV29" s="25">
        <f t="shared" si="73"/>
        <v>9.1879587486730419E-2</v>
      </c>
      <c r="AW29" s="25">
        <f t="shared" si="73"/>
        <v>8.8202697846731626E-2</v>
      </c>
      <c r="AX29" s="25">
        <f t="shared" si="73"/>
        <v>6.6073412415574073E-2</v>
      </c>
      <c r="AY29" s="25">
        <f t="shared" si="73"/>
        <v>6.6183533624469604E-2</v>
      </c>
      <c r="AZ29" s="25">
        <f t="shared" si="73"/>
        <v>7.777328496840441E-2</v>
      </c>
      <c r="BA29" s="21"/>
      <c r="BF29" s="91">
        <f>BF27-BC27</f>
        <v>-128883.57658284809</v>
      </c>
      <c r="BJ29" s="91">
        <f>BJ27-BG27</f>
        <v>-107419.29924262688</v>
      </c>
      <c r="BN29" s="91">
        <f>BN27-BK27</f>
        <v>-89285.193383780075</v>
      </c>
    </row>
    <row r="30" spans="1:66" ht="14.25" customHeight="1">
      <c r="H30" s="21">
        <v>38990</v>
      </c>
      <c r="I30" s="35">
        <v>4.1993772477144802</v>
      </c>
      <c r="J30" s="37">
        <v>15.78</v>
      </c>
      <c r="K30" s="37">
        <v>15.78</v>
      </c>
      <c r="L30" s="37">
        <v>15.78</v>
      </c>
      <c r="T30" s="3"/>
      <c r="U30" s="21">
        <v>38990</v>
      </c>
      <c r="V30" s="37">
        <v>15.78</v>
      </c>
      <c r="W30" s="37">
        <v>15.78</v>
      </c>
      <c r="X30" s="37">
        <v>15.78</v>
      </c>
      <c r="BA30" s="21"/>
    </row>
    <row r="31" spans="1:66" ht="14.25" customHeight="1">
      <c r="A31" s="102" t="s">
        <v>183</v>
      </c>
      <c r="H31" s="21">
        <v>39082</v>
      </c>
      <c r="I31" s="35">
        <v>5.2420919651346765</v>
      </c>
      <c r="J31" s="37">
        <v>16.649999999999999</v>
      </c>
      <c r="K31" s="37">
        <v>16.649999999999999</v>
      </c>
      <c r="L31" s="37">
        <v>16.649999999999999</v>
      </c>
      <c r="T31" s="3"/>
      <c r="U31" s="21">
        <v>39082</v>
      </c>
      <c r="V31" s="37">
        <v>16.649999999999999</v>
      </c>
      <c r="W31" s="37">
        <v>16.649999999999999</v>
      </c>
      <c r="X31" s="37">
        <v>16.649999999999999</v>
      </c>
      <c r="BA31" s="21"/>
    </row>
    <row r="32" spans="1:66" ht="14.25" customHeight="1">
      <c r="A32" s="109"/>
      <c r="B32" s="109" t="s">
        <v>185</v>
      </c>
      <c r="C32" s="109" t="s">
        <v>186</v>
      </c>
      <c r="D32" s="109" t="s">
        <v>187</v>
      </c>
      <c r="E32" s="109" t="s">
        <v>188</v>
      </c>
      <c r="F32" s="109"/>
      <c r="H32" s="21">
        <v>39172</v>
      </c>
      <c r="I32" s="35">
        <v>6.3900088341466699</v>
      </c>
      <c r="J32" s="37">
        <v>16.32</v>
      </c>
      <c r="K32" s="37">
        <v>16.32</v>
      </c>
      <c r="L32" s="37">
        <v>16.32</v>
      </c>
      <c r="T32" s="3"/>
      <c r="U32" s="21">
        <v>39172</v>
      </c>
      <c r="V32" s="37">
        <v>16.32</v>
      </c>
      <c r="W32" s="37">
        <v>16.32</v>
      </c>
      <c r="X32" s="37">
        <v>16.32</v>
      </c>
      <c r="BA32" s="21"/>
    </row>
    <row r="33" spans="1:53" ht="14.25" customHeight="1">
      <c r="A33" s="109" t="s">
        <v>192</v>
      </c>
      <c r="B33" s="109">
        <v>0.31722</v>
      </c>
      <c r="C33" s="109">
        <v>0.35919000000000001</v>
      </c>
      <c r="D33" s="109">
        <v>0.88300000000000001</v>
      </c>
      <c r="E33" s="109">
        <v>0.38819799999999999</v>
      </c>
      <c r="F33" s="109"/>
      <c r="H33" s="21">
        <v>39263</v>
      </c>
      <c r="I33" s="35">
        <v>5.9151569736022083</v>
      </c>
      <c r="J33" s="37">
        <v>13.99</v>
      </c>
      <c r="K33" s="37">
        <v>13.99</v>
      </c>
      <c r="L33" s="37">
        <v>13.99</v>
      </c>
      <c r="T33" s="3"/>
      <c r="U33" s="21">
        <v>39263</v>
      </c>
      <c r="V33" s="37">
        <v>13.99</v>
      </c>
      <c r="W33" s="37">
        <v>13.99</v>
      </c>
      <c r="X33" s="37">
        <v>13.99</v>
      </c>
      <c r="BA33" s="21"/>
    </row>
    <row r="34" spans="1:53" ht="14.25" customHeight="1">
      <c r="A34" s="109" t="s">
        <v>11</v>
      </c>
      <c r="B34" s="109">
        <v>-0.4269</v>
      </c>
      <c r="C34" s="109">
        <v>9.8780000000000007E-2</v>
      </c>
      <c r="D34" s="109">
        <v>-4.3220000000000001</v>
      </c>
      <c r="E34" s="109">
        <v>3.68E-4</v>
      </c>
      <c r="F34" s="109" t="s">
        <v>194</v>
      </c>
      <c r="H34" s="21">
        <v>39355</v>
      </c>
      <c r="I34" s="35">
        <v>4.7434249558204016</v>
      </c>
      <c r="J34" s="37">
        <v>13.79</v>
      </c>
      <c r="K34" s="37">
        <v>13.79</v>
      </c>
      <c r="L34" s="37">
        <v>13.79</v>
      </c>
      <c r="T34" s="3"/>
      <c r="U34" s="21">
        <v>39355</v>
      </c>
      <c r="V34" s="37">
        <v>13.79</v>
      </c>
      <c r="W34" s="37">
        <v>13.79</v>
      </c>
      <c r="X34" s="37">
        <v>13.79</v>
      </c>
      <c r="BA34" s="21"/>
    </row>
    <row r="35" spans="1:53" ht="14.25" customHeight="1">
      <c r="H35" s="21">
        <v>39447</v>
      </c>
      <c r="I35" s="35">
        <v>4.1200517556200396</v>
      </c>
      <c r="J35" s="37">
        <v>14.38</v>
      </c>
      <c r="K35" s="37">
        <v>14.38</v>
      </c>
      <c r="L35" s="37">
        <v>14.38</v>
      </c>
      <c r="T35" s="3"/>
      <c r="U35" s="21">
        <v>39447</v>
      </c>
      <c r="V35" s="37">
        <v>14.38</v>
      </c>
      <c r="W35" s="37">
        <v>14.38</v>
      </c>
      <c r="X35" s="37">
        <v>14.38</v>
      </c>
      <c r="BA35" s="21"/>
    </row>
    <row r="36" spans="1:53" ht="14.25" customHeight="1">
      <c r="H36" s="21">
        <v>39538</v>
      </c>
      <c r="I36" s="35">
        <v>2.901486866103582</v>
      </c>
      <c r="J36" s="37">
        <v>14.26</v>
      </c>
      <c r="K36" s="37">
        <v>14.26</v>
      </c>
      <c r="L36" s="37">
        <v>14.26</v>
      </c>
      <c r="T36" s="3"/>
      <c r="U36" s="21">
        <v>39538</v>
      </c>
      <c r="V36" s="37">
        <v>14.26</v>
      </c>
      <c r="W36" s="37">
        <v>14.26</v>
      </c>
      <c r="X36" s="37">
        <v>14.26</v>
      </c>
      <c r="BA36" s="21"/>
    </row>
    <row r="37" spans="1:53" ht="14.25" customHeight="1">
      <c r="H37" s="21">
        <v>39629</v>
      </c>
      <c r="I37" s="35">
        <v>3.092621264257005</v>
      </c>
      <c r="J37" s="37">
        <v>12.37</v>
      </c>
      <c r="K37" s="37">
        <v>12.37</v>
      </c>
      <c r="L37" s="37">
        <v>12.37</v>
      </c>
      <c r="T37" s="3"/>
      <c r="U37" s="21">
        <v>39629</v>
      </c>
      <c r="V37" s="37">
        <v>12.37</v>
      </c>
      <c r="W37" s="37">
        <v>12.37</v>
      </c>
      <c r="X37" s="37">
        <v>12.37</v>
      </c>
      <c r="BA37" s="21"/>
    </row>
    <row r="38" spans="1:53" ht="14.25" customHeight="1">
      <c r="H38" s="21">
        <v>39721</v>
      </c>
      <c r="I38" s="35">
        <v>1.7035991173792269</v>
      </c>
      <c r="J38" s="37">
        <v>12.37</v>
      </c>
      <c r="K38" s="37">
        <v>12.37</v>
      </c>
      <c r="L38" s="37">
        <v>12.37</v>
      </c>
      <c r="T38" s="3"/>
      <c r="U38" s="21">
        <v>39721</v>
      </c>
      <c r="V38" s="37">
        <v>12.37</v>
      </c>
      <c r="W38" s="37">
        <v>12.37</v>
      </c>
      <c r="X38" s="37">
        <v>12.37</v>
      </c>
      <c r="BA38" s="21"/>
    </row>
    <row r="39" spans="1:53" ht="14.25" customHeight="1">
      <c r="H39" s="21">
        <v>39813</v>
      </c>
      <c r="I39" s="35">
        <v>-0.64648472106203769</v>
      </c>
      <c r="J39" s="37">
        <v>13.48</v>
      </c>
      <c r="K39" s="37">
        <v>13.48</v>
      </c>
      <c r="L39" s="37">
        <v>13.48</v>
      </c>
      <c r="T39" s="3"/>
      <c r="U39" s="21">
        <v>39813</v>
      </c>
      <c r="V39" s="37">
        <v>13.48</v>
      </c>
      <c r="W39" s="37">
        <v>13.48</v>
      </c>
      <c r="X39" s="37">
        <v>13.48</v>
      </c>
      <c r="BA39" s="21"/>
    </row>
    <row r="40" spans="1:53" ht="14.25" customHeight="1">
      <c r="H40" s="21">
        <v>39903</v>
      </c>
      <c r="I40" s="35">
        <v>-8.8169943967401565</v>
      </c>
      <c r="J40" s="37">
        <v>15.08</v>
      </c>
      <c r="K40" s="37">
        <v>15.08</v>
      </c>
      <c r="L40" s="37">
        <v>15.08</v>
      </c>
      <c r="T40" s="3"/>
      <c r="U40" s="21">
        <v>39903</v>
      </c>
      <c r="V40" s="37">
        <v>15.08</v>
      </c>
      <c r="W40" s="37">
        <v>15.08</v>
      </c>
      <c r="X40" s="37">
        <v>15.08</v>
      </c>
      <c r="BA40" s="21"/>
    </row>
    <row r="41" spans="1:53" ht="14.25" customHeight="1">
      <c r="H41" s="21">
        <v>39994</v>
      </c>
      <c r="I41" s="35">
        <v>-8.5892060228062235</v>
      </c>
      <c r="J41" s="37">
        <v>14.01</v>
      </c>
      <c r="K41" s="37">
        <v>14.01</v>
      </c>
      <c r="L41" s="37">
        <v>14.01</v>
      </c>
      <c r="T41" s="3"/>
      <c r="U41" s="21">
        <v>39994</v>
      </c>
      <c r="V41" s="37">
        <v>14.01</v>
      </c>
      <c r="W41" s="37">
        <v>14.01</v>
      </c>
      <c r="X41" s="37">
        <v>14.01</v>
      </c>
      <c r="BA41" s="21"/>
    </row>
    <row r="42" spans="1:53" ht="14.25" customHeight="1">
      <c r="H42" s="21">
        <v>40086</v>
      </c>
      <c r="I42" s="35">
        <v>-7.613715980090987</v>
      </c>
      <c r="J42" s="37">
        <v>14.79</v>
      </c>
      <c r="K42" s="37">
        <v>14.79</v>
      </c>
      <c r="L42" s="37">
        <v>14.79</v>
      </c>
      <c r="T42" s="3"/>
      <c r="U42" s="21">
        <v>40086</v>
      </c>
      <c r="V42" s="37">
        <v>14.79</v>
      </c>
      <c r="W42" s="37">
        <v>14.79</v>
      </c>
      <c r="X42" s="37">
        <v>14.79</v>
      </c>
      <c r="BA42" s="21"/>
    </row>
    <row r="43" spans="1:53" ht="14.25" customHeight="1">
      <c r="H43" s="21">
        <v>40178</v>
      </c>
      <c r="I43" s="35">
        <v>-4.3203717322743387</v>
      </c>
      <c r="J43" s="37">
        <v>16.739999999999998</v>
      </c>
      <c r="K43" s="37">
        <v>16.739999999999998</v>
      </c>
      <c r="L43" s="37">
        <v>16.739999999999998</v>
      </c>
      <c r="T43" s="3"/>
      <c r="U43" s="21">
        <v>40178</v>
      </c>
      <c r="V43" s="37">
        <v>16.739999999999998</v>
      </c>
      <c r="W43" s="37">
        <v>16.739999999999998</v>
      </c>
      <c r="X43" s="37">
        <v>16.739999999999998</v>
      </c>
      <c r="BA43" s="21"/>
    </row>
    <row r="44" spans="1:53" ht="14.25" customHeight="1">
      <c r="H44" s="21">
        <v>40268</v>
      </c>
      <c r="I44" s="35">
        <v>-2.511213415242679</v>
      </c>
      <c r="J44" s="37">
        <v>18.25</v>
      </c>
      <c r="K44" s="37">
        <v>18.25</v>
      </c>
      <c r="L44" s="37">
        <v>18.25</v>
      </c>
      <c r="T44" s="3"/>
      <c r="U44" s="21">
        <v>40268</v>
      </c>
      <c r="V44" s="37">
        <v>18.25</v>
      </c>
      <c r="W44" s="37">
        <v>18.25</v>
      </c>
      <c r="X44" s="37">
        <v>18.25</v>
      </c>
      <c r="BA44" s="21"/>
    </row>
    <row r="45" spans="1:53" ht="14.25" customHeight="1">
      <c r="H45" s="21">
        <v>40359</v>
      </c>
      <c r="I45" s="35">
        <v>-2.939447085478136</v>
      </c>
      <c r="J45" s="37">
        <v>16.46</v>
      </c>
      <c r="K45" s="37">
        <v>16.46</v>
      </c>
      <c r="L45" s="37">
        <v>16.46</v>
      </c>
      <c r="T45" s="3"/>
      <c r="U45" s="21">
        <v>40359</v>
      </c>
      <c r="V45" s="37">
        <v>16.46</v>
      </c>
      <c r="W45" s="37">
        <v>16.46</v>
      </c>
      <c r="X45" s="37">
        <v>16.46</v>
      </c>
      <c r="BA45" s="21"/>
    </row>
    <row r="46" spans="1:53" ht="14.25" customHeight="1">
      <c r="H46" s="21">
        <v>40451</v>
      </c>
      <c r="I46" s="35">
        <v>1.013481423639135</v>
      </c>
      <c r="J46" s="37">
        <v>16.760000000000002</v>
      </c>
      <c r="K46" s="37">
        <v>16.760000000000002</v>
      </c>
      <c r="L46" s="37">
        <v>16.760000000000002</v>
      </c>
      <c r="T46" s="3"/>
      <c r="U46" s="21">
        <v>40451</v>
      </c>
      <c r="V46" s="37">
        <v>16.760000000000002</v>
      </c>
      <c r="W46" s="37">
        <v>16.760000000000002</v>
      </c>
      <c r="X46" s="37">
        <v>16.760000000000002</v>
      </c>
    </row>
    <row r="47" spans="1:53" ht="14.25" customHeight="1">
      <c r="H47" s="21">
        <v>40543</v>
      </c>
      <c r="I47" s="35">
        <v>-1.7422109868578985</v>
      </c>
      <c r="J47" s="37">
        <v>18.64</v>
      </c>
      <c r="K47" s="37">
        <v>18.64</v>
      </c>
      <c r="L47" s="37">
        <v>18.64</v>
      </c>
      <c r="T47" s="3"/>
      <c r="U47" s="21">
        <v>40543</v>
      </c>
      <c r="V47" s="37">
        <v>18.64</v>
      </c>
      <c r="W47" s="37">
        <v>18.64</v>
      </c>
      <c r="X47" s="37">
        <v>18.64</v>
      </c>
    </row>
    <row r="48" spans="1:53" ht="14.25" customHeight="1">
      <c r="H48" s="21">
        <v>40633</v>
      </c>
      <c r="I48" s="35">
        <v>-2.3465731362899902</v>
      </c>
      <c r="J48" s="37">
        <v>19.13</v>
      </c>
      <c r="K48" s="37">
        <v>19.13</v>
      </c>
      <c r="L48" s="37">
        <v>19.13</v>
      </c>
      <c r="T48" s="3"/>
      <c r="U48" s="21">
        <v>40633</v>
      </c>
      <c r="V48" s="37">
        <v>19.13</v>
      </c>
      <c r="W48" s="37">
        <v>19.13</v>
      </c>
      <c r="X48" s="37">
        <v>19.13</v>
      </c>
    </row>
    <row r="49" spans="8:24" ht="14.25" customHeight="1">
      <c r="H49" s="21">
        <v>40724</v>
      </c>
      <c r="I49" s="35">
        <v>1.132389929248717</v>
      </c>
      <c r="J49" s="37">
        <v>16.690000000000001</v>
      </c>
      <c r="K49" s="37">
        <v>16.690000000000001</v>
      </c>
      <c r="L49" s="37">
        <v>16.690000000000001</v>
      </c>
      <c r="T49" s="3"/>
      <c r="U49" s="21">
        <v>40724</v>
      </c>
      <c r="V49" s="37">
        <v>16.690000000000001</v>
      </c>
      <c r="W49" s="37">
        <v>16.690000000000001</v>
      </c>
      <c r="X49" s="37">
        <v>16.690000000000001</v>
      </c>
    </row>
    <row r="50" spans="8:24" ht="14.25" customHeight="1">
      <c r="H50" s="21">
        <v>40816</v>
      </c>
      <c r="I50" s="35">
        <v>2.1107123695230712E-2</v>
      </c>
      <c r="J50" s="37">
        <v>16.600000000000001</v>
      </c>
      <c r="K50" s="37">
        <v>16.600000000000001</v>
      </c>
      <c r="L50" s="37">
        <v>16.600000000000001</v>
      </c>
      <c r="T50" s="3"/>
      <c r="U50" s="21">
        <v>40816</v>
      </c>
      <c r="V50" s="37">
        <v>16.600000000000001</v>
      </c>
      <c r="W50" s="37">
        <v>16.600000000000001</v>
      </c>
      <c r="X50" s="37">
        <v>16.600000000000001</v>
      </c>
    </row>
    <row r="51" spans="8:24" ht="14.25" customHeight="1">
      <c r="H51" s="21">
        <v>40908</v>
      </c>
      <c r="I51" s="35">
        <v>-0.22934433360873641</v>
      </c>
      <c r="J51" s="37">
        <v>18.558517003648891</v>
      </c>
      <c r="K51" s="37">
        <v>18.558517003648891</v>
      </c>
      <c r="L51" s="37">
        <v>18.558517003648891</v>
      </c>
      <c r="T51" s="3"/>
      <c r="U51" s="21">
        <v>40908</v>
      </c>
      <c r="V51" s="37">
        <v>18.558517003648891</v>
      </c>
      <c r="W51" s="37">
        <v>18.558517003648891</v>
      </c>
      <c r="X51" s="37">
        <v>18.558517003648891</v>
      </c>
    </row>
    <row r="52" spans="8:24" ht="14.25" customHeight="1">
      <c r="H52" s="21">
        <v>40999</v>
      </c>
      <c r="I52" s="35">
        <v>-1.2048722074554803</v>
      </c>
      <c r="J52" s="37">
        <v>19.7</v>
      </c>
      <c r="K52" s="37">
        <v>19.7</v>
      </c>
      <c r="L52" s="37">
        <v>19.7</v>
      </c>
      <c r="T52" s="3"/>
      <c r="U52" s="21">
        <v>40999</v>
      </c>
      <c r="V52" s="37">
        <v>19.7</v>
      </c>
      <c r="W52" s="37">
        <v>19.7</v>
      </c>
      <c r="X52" s="37">
        <v>19.7</v>
      </c>
    </row>
    <row r="53" spans="8:24" ht="14.25" customHeight="1">
      <c r="H53" s="21">
        <v>41090</v>
      </c>
      <c r="I53" s="35">
        <v>-2.9945914921394916</v>
      </c>
      <c r="J53" s="37">
        <v>17.100000000000001</v>
      </c>
      <c r="K53" s="37">
        <v>17.100000000000001</v>
      </c>
      <c r="L53" s="37">
        <v>17.100000000000001</v>
      </c>
      <c r="T53" s="3"/>
      <c r="U53" s="21">
        <v>41090</v>
      </c>
      <c r="V53" s="37">
        <v>17.100000000000001</v>
      </c>
      <c r="W53" s="37">
        <v>17.100000000000001</v>
      </c>
      <c r="X53" s="37">
        <v>17.100000000000001</v>
      </c>
    </row>
    <row r="54" spans="8:24" ht="14.25" customHeight="1">
      <c r="H54" s="21">
        <v>41182</v>
      </c>
      <c r="I54" s="35">
        <v>-1.8047831917015174</v>
      </c>
      <c r="J54" s="37">
        <v>18.100000000000001</v>
      </c>
      <c r="K54" s="37">
        <v>18.100000000000001</v>
      </c>
      <c r="L54" s="37">
        <v>18.100000000000001</v>
      </c>
      <c r="T54" s="3"/>
      <c r="U54" s="21">
        <v>41182</v>
      </c>
      <c r="V54" s="37">
        <v>18.100000000000001</v>
      </c>
      <c r="W54" s="37">
        <v>18.100000000000001</v>
      </c>
      <c r="X54" s="37">
        <v>18.100000000000001</v>
      </c>
    </row>
    <row r="55" spans="8:24" ht="14.25" customHeight="1">
      <c r="H55" s="21">
        <v>41274</v>
      </c>
      <c r="I55" s="35">
        <v>-2.8823899790260725</v>
      </c>
      <c r="J55" s="37">
        <v>20.9</v>
      </c>
      <c r="K55" s="37">
        <v>20.9</v>
      </c>
      <c r="L55" s="37">
        <v>20.9</v>
      </c>
      <c r="T55" s="3"/>
      <c r="U55" s="21">
        <v>41274</v>
      </c>
      <c r="V55" s="37">
        <v>20.9</v>
      </c>
      <c r="W55" s="37">
        <v>20.9</v>
      </c>
      <c r="X55" s="37">
        <v>20.9</v>
      </c>
    </row>
    <row r="56" spans="8:24" ht="14.25" customHeight="1">
      <c r="H56" s="21">
        <v>41364</v>
      </c>
      <c r="I56" s="35">
        <v>-1.1781758447468604</v>
      </c>
      <c r="J56" s="37">
        <v>21.5</v>
      </c>
      <c r="K56" s="37">
        <v>21.5</v>
      </c>
      <c r="L56" s="37">
        <v>21.5</v>
      </c>
      <c r="T56" s="3"/>
      <c r="U56" s="21">
        <v>41364</v>
      </c>
      <c r="V56" s="37">
        <v>21.5</v>
      </c>
      <c r="W56" s="37">
        <v>21.5</v>
      </c>
      <c r="X56" s="37">
        <v>21.5</v>
      </c>
    </row>
    <row r="57" spans="8:24" ht="14.25" customHeight="1">
      <c r="H57" s="21">
        <v>41455</v>
      </c>
      <c r="I57" s="35">
        <v>7.5961415204247373E-2</v>
      </c>
      <c r="J57" s="37">
        <v>18.600000000000001</v>
      </c>
      <c r="K57" s="37">
        <v>18.600000000000001</v>
      </c>
      <c r="L57" s="37">
        <v>18.600000000000001</v>
      </c>
      <c r="T57" s="3"/>
      <c r="U57" s="21">
        <v>41455</v>
      </c>
      <c r="V57" s="37">
        <v>18.600000000000001</v>
      </c>
      <c r="W57" s="37">
        <v>18.600000000000001</v>
      </c>
      <c r="X57" s="37">
        <v>18.600000000000001</v>
      </c>
    </row>
    <row r="58" spans="8:24" ht="14.25" customHeight="1">
      <c r="H58" s="21">
        <v>41547</v>
      </c>
      <c r="I58" s="35">
        <v>-0.75772440304913857</v>
      </c>
      <c r="J58" s="37">
        <v>19</v>
      </c>
      <c r="K58" s="37">
        <v>19</v>
      </c>
      <c r="L58" s="37">
        <v>19</v>
      </c>
      <c r="T58" s="3"/>
      <c r="U58" s="21">
        <v>41547</v>
      </c>
      <c r="V58" s="37">
        <v>19</v>
      </c>
      <c r="W58" s="37">
        <v>19</v>
      </c>
      <c r="X58" s="37">
        <v>19</v>
      </c>
    </row>
    <row r="59" spans="8:24" ht="14.25" customHeight="1">
      <c r="H59" s="21">
        <v>41639</v>
      </c>
      <c r="I59" s="35">
        <v>-0.36963614954868262</v>
      </c>
      <c r="J59" s="37">
        <v>21.5</v>
      </c>
      <c r="K59" s="37">
        <v>21.5</v>
      </c>
      <c r="L59" s="37">
        <v>21.5</v>
      </c>
      <c r="T59" s="3"/>
      <c r="U59" s="21">
        <v>41639</v>
      </c>
      <c r="V59" s="37">
        <v>21.5</v>
      </c>
      <c r="W59" s="37">
        <v>21.5</v>
      </c>
      <c r="X59" s="37">
        <v>21.5</v>
      </c>
    </row>
    <row r="60" spans="8:24" ht="14.25" customHeight="1">
      <c r="H60" s="21">
        <v>41729</v>
      </c>
      <c r="I60" s="35">
        <v>-1.0781897487394616</v>
      </c>
      <c r="J60" s="37">
        <v>22.2</v>
      </c>
      <c r="K60" s="37">
        <v>22.2</v>
      </c>
      <c r="L60" s="37">
        <v>22.2</v>
      </c>
      <c r="T60" s="3"/>
      <c r="U60" s="21">
        <v>41729</v>
      </c>
      <c r="V60" s="37">
        <v>22.2</v>
      </c>
      <c r="W60" s="37">
        <v>22.2</v>
      </c>
      <c r="X60" s="37">
        <v>22.2</v>
      </c>
    </row>
    <row r="61" spans="8:24" ht="14.25" customHeight="1">
      <c r="H61" s="21">
        <v>41820</v>
      </c>
      <c r="I61" s="35">
        <v>-0.37078182194473186</v>
      </c>
      <c r="J61" s="37">
        <v>18.2</v>
      </c>
      <c r="K61" s="37">
        <v>18.2</v>
      </c>
      <c r="L61" s="37">
        <v>18.2</v>
      </c>
      <c r="T61" s="3"/>
      <c r="U61" s="21">
        <v>41820</v>
      </c>
      <c r="V61" s="37">
        <v>18.2</v>
      </c>
      <c r="W61" s="37">
        <v>18.2</v>
      </c>
      <c r="X61" s="37">
        <v>18.2</v>
      </c>
    </row>
    <row r="62" spans="8:24" ht="14.25" customHeight="1">
      <c r="H62" s="21">
        <v>41912</v>
      </c>
      <c r="I62" s="35">
        <v>0.18597434456131623</v>
      </c>
      <c r="J62" s="37">
        <v>17.600000000000001</v>
      </c>
      <c r="K62" s="37">
        <v>17.600000000000001</v>
      </c>
      <c r="L62" s="37">
        <v>17.600000000000001</v>
      </c>
      <c r="T62" s="3"/>
      <c r="U62" s="21">
        <v>41912</v>
      </c>
      <c r="V62" s="37">
        <v>17.600000000000001</v>
      </c>
      <c r="W62" s="37">
        <v>17.600000000000001</v>
      </c>
      <c r="X62" s="37">
        <v>17.600000000000001</v>
      </c>
    </row>
    <row r="63" spans="8:24" ht="14.25" customHeight="1">
      <c r="H63" s="21">
        <v>42004</v>
      </c>
      <c r="I63" s="35">
        <v>0.74835852896796951</v>
      </c>
      <c r="J63" s="37">
        <v>19.399999999999999</v>
      </c>
      <c r="K63" s="37">
        <v>19.399999999999999</v>
      </c>
      <c r="L63" s="37">
        <v>19.399999999999999</v>
      </c>
      <c r="T63" s="3"/>
      <c r="U63" s="21">
        <v>42004</v>
      </c>
      <c r="V63" s="37">
        <v>19.399999999999999</v>
      </c>
      <c r="W63" s="37">
        <v>19.399999999999999</v>
      </c>
      <c r="X63" s="37">
        <v>19.399999999999999</v>
      </c>
    </row>
    <row r="64" spans="8:24" ht="14.25" customHeight="1">
      <c r="H64" s="21">
        <v>42094</v>
      </c>
      <c r="I64" s="35">
        <v>1.401207133152667</v>
      </c>
      <c r="J64" s="37">
        <v>19.087103434543717</v>
      </c>
      <c r="K64" s="37">
        <v>19.087103434543717</v>
      </c>
      <c r="L64" s="37">
        <v>19.087103434543717</v>
      </c>
      <c r="T64" s="3"/>
      <c r="U64" s="21">
        <v>42094</v>
      </c>
      <c r="V64" s="37">
        <v>19.087103434543717</v>
      </c>
      <c r="W64" s="37">
        <v>19.087103434543717</v>
      </c>
      <c r="X64" s="37">
        <v>19.087103434543717</v>
      </c>
    </row>
    <row r="65" spans="8:24" ht="14.25" customHeight="1">
      <c r="H65" s="21">
        <v>42185</v>
      </c>
      <c r="I65" s="35">
        <v>1.8522390958709138</v>
      </c>
      <c r="J65" s="37">
        <v>15.551889263358312</v>
      </c>
      <c r="K65" s="37">
        <v>15.551889263358312</v>
      </c>
      <c r="L65" s="37">
        <v>15.551889263358312</v>
      </c>
      <c r="T65" s="3"/>
      <c r="U65" s="21">
        <v>42185</v>
      </c>
      <c r="V65" s="37">
        <v>15.551889263358312</v>
      </c>
      <c r="W65" s="37">
        <v>15.551889263358312</v>
      </c>
      <c r="X65" s="37">
        <v>15.551889263358312</v>
      </c>
    </row>
    <row r="66" spans="8:24" ht="14.25" customHeight="1">
      <c r="H66" s="21">
        <v>42277</v>
      </c>
      <c r="I66" s="35">
        <v>3.9435859255217309</v>
      </c>
      <c r="J66" s="37">
        <v>15.47082260540008</v>
      </c>
      <c r="K66" s="37">
        <v>15.47082260540008</v>
      </c>
      <c r="L66" s="37">
        <v>15.47082260540008</v>
      </c>
      <c r="T66" s="3"/>
      <c r="U66" s="21">
        <v>42277</v>
      </c>
      <c r="V66" s="37">
        <v>15.47082260540008</v>
      </c>
      <c r="W66" s="37">
        <v>15.47082260540008</v>
      </c>
      <c r="X66" s="37">
        <v>15.47082260540008</v>
      </c>
    </row>
    <row r="67" spans="8:24" ht="14.25" customHeight="1">
      <c r="H67" s="21">
        <v>42369</v>
      </c>
      <c r="I67" s="35">
        <v>2.3104276376878516</v>
      </c>
      <c r="J67" s="37">
        <v>17.225642594526882</v>
      </c>
      <c r="K67" s="37">
        <v>17.225642594526882</v>
      </c>
      <c r="L67" s="37">
        <v>17.225642594526882</v>
      </c>
      <c r="T67" s="3"/>
      <c r="U67" s="21">
        <v>42369</v>
      </c>
      <c r="V67" s="37">
        <v>17.225642594526882</v>
      </c>
      <c r="W67" s="37">
        <v>17.225642594526882</v>
      </c>
      <c r="X67" s="37">
        <v>17.225642594526882</v>
      </c>
    </row>
    <row r="68" spans="8:24" ht="14.25" customHeight="1">
      <c r="H68" s="21">
        <v>42460</v>
      </c>
      <c r="I68" s="35">
        <v>3.2795887168851152</v>
      </c>
      <c r="J68" s="37">
        <v>16.5</v>
      </c>
      <c r="K68" s="37">
        <v>16.5</v>
      </c>
      <c r="L68" s="37">
        <v>16.5</v>
      </c>
      <c r="T68" s="3"/>
      <c r="U68" s="21">
        <v>42460</v>
      </c>
      <c r="V68" s="37">
        <v>16.5</v>
      </c>
      <c r="W68" s="37">
        <v>16.5</v>
      </c>
      <c r="X68" s="37">
        <v>16.5</v>
      </c>
    </row>
    <row r="69" spans="8:24" ht="14.25" customHeight="1">
      <c r="H69" s="21">
        <v>42551</v>
      </c>
      <c r="I69" s="35">
        <v>3.0665060429969628</v>
      </c>
      <c r="J69" s="37">
        <v>13</v>
      </c>
      <c r="K69" s="37">
        <v>13</v>
      </c>
      <c r="L69" s="37">
        <v>13</v>
      </c>
      <c r="T69" s="3"/>
      <c r="U69" s="21">
        <v>42551</v>
      </c>
      <c r="V69" s="37">
        <v>13</v>
      </c>
      <c r="W69" s="37">
        <v>13</v>
      </c>
      <c r="X69" s="37">
        <v>13</v>
      </c>
    </row>
    <row r="70" spans="8:24" ht="14.25" customHeight="1">
      <c r="H70" s="21">
        <v>42643</v>
      </c>
      <c r="I70" s="35">
        <v>3.574323815567368</v>
      </c>
      <c r="J70" s="37">
        <v>12.6</v>
      </c>
      <c r="K70" s="37">
        <v>12.6</v>
      </c>
      <c r="L70" s="37">
        <v>12.6</v>
      </c>
      <c r="T70" s="3"/>
      <c r="U70" s="21">
        <v>42643</v>
      </c>
      <c r="V70" s="37">
        <v>12.6</v>
      </c>
      <c r="W70" s="37">
        <v>12.6</v>
      </c>
      <c r="X70" s="37">
        <v>12.6</v>
      </c>
    </row>
    <row r="71" spans="8:24" ht="14.25" customHeight="1">
      <c r="H71" s="21">
        <v>42735</v>
      </c>
      <c r="I71" s="35">
        <v>3.9873547192121634</v>
      </c>
      <c r="J71" s="37">
        <v>14.1</v>
      </c>
      <c r="K71" s="37">
        <v>14.1</v>
      </c>
      <c r="L71" s="37">
        <v>14.1</v>
      </c>
      <c r="T71" s="3"/>
      <c r="U71" s="21">
        <v>42735</v>
      </c>
      <c r="V71" s="37">
        <v>14.1</v>
      </c>
      <c r="W71" s="37">
        <v>14.1</v>
      </c>
      <c r="X71" s="37">
        <v>14.1</v>
      </c>
    </row>
    <row r="72" spans="8:24" ht="14.25" customHeight="1">
      <c r="H72" s="21">
        <v>42825</v>
      </c>
      <c r="I72" s="35">
        <v>3.0209334143764153</v>
      </c>
      <c r="J72" s="37">
        <v>13.6</v>
      </c>
      <c r="K72" s="37">
        <v>13.6</v>
      </c>
      <c r="L72" s="37">
        <v>13.6</v>
      </c>
      <c r="T72" s="3"/>
      <c r="U72" s="21">
        <v>42825</v>
      </c>
      <c r="V72" s="37">
        <v>13.6</v>
      </c>
      <c r="W72" s="37">
        <v>13.6</v>
      </c>
      <c r="X72" s="37">
        <v>13.6</v>
      </c>
    </row>
    <row r="73" spans="8:24" ht="14.25" customHeight="1">
      <c r="H73" s="21">
        <v>42916</v>
      </c>
      <c r="I73" s="35">
        <v>3.3901414600493069</v>
      </c>
      <c r="J73" s="37">
        <v>10.1</v>
      </c>
      <c r="K73" s="37">
        <v>10.1</v>
      </c>
      <c r="L73" s="37">
        <v>10.1</v>
      </c>
      <c r="T73" s="3"/>
      <c r="U73" s="21">
        <v>42916</v>
      </c>
      <c r="V73" s="37">
        <v>10.1</v>
      </c>
      <c r="W73" s="37">
        <v>10.1</v>
      </c>
      <c r="X73" s="37">
        <v>10.1</v>
      </c>
    </row>
    <row r="74" spans="8:24" ht="14.25" customHeight="1">
      <c r="H74" s="21">
        <v>43008</v>
      </c>
      <c r="I74" s="35">
        <v>3.5717153805701969</v>
      </c>
      <c r="J74" s="37">
        <v>10.1</v>
      </c>
      <c r="K74" s="37">
        <v>10.1</v>
      </c>
      <c r="L74" s="37">
        <v>10.1</v>
      </c>
      <c r="T74" s="3"/>
      <c r="U74" s="21">
        <v>43008</v>
      </c>
      <c r="V74" s="37">
        <v>10.1</v>
      </c>
      <c r="W74" s="37">
        <v>10.1</v>
      </c>
      <c r="X74" s="37">
        <v>10.1</v>
      </c>
    </row>
    <row r="75" spans="8:24" ht="14.25" customHeight="1">
      <c r="H75" s="21">
        <v>43100</v>
      </c>
      <c r="I75" s="35">
        <v>2.5103533828245475</v>
      </c>
      <c r="J75" s="37">
        <v>11.2</v>
      </c>
      <c r="K75" s="37">
        <v>11.2</v>
      </c>
      <c r="L75" s="37">
        <v>11.2</v>
      </c>
      <c r="T75" s="3"/>
      <c r="U75" s="21">
        <v>43100</v>
      </c>
      <c r="V75" s="37">
        <v>11.2</v>
      </c>
      <c r="W75" s="37">
        <v>11.2</v>
      </c>
      <c r="X75" s="37">
        <v>11.2</v>
      </c>
    </row>
    <row r="76" spans="8:24" ht="14.25" customHeight="1">
      <c r="H76" s="21">
        <v>43190</v>
      </c>
      <c r="I76" s="35">
        <v>2.2466302999344094</v>
      </c>
      <c r="J76" s="37">
        <v>10.8</v>
      </c>
      <c r="K76" s="37">
        <v>10.8</v>
      </c>
      <c r="L76" s="37">
        <v>10.8</v>
      </c>
      <c r="T76" s="3"/>
      <c r="U76" s="21">
        <v>43190</v>
      </c>
      <c r="V76" s="37">
        <v>10.8</v>
      </c>
      <c r="W76" s="37">
        <v>10.8</v>
      </c>
      <c r="X76" s="37">
        <v>10.8</v>
      </c>
    </row>
    <row r="77" spans="8:24" ht="14.25" customHeight="1">
      <c r="H77" s="21">
        <v>43281</v>
      </c>
      <c r="I77" s="35">
        <v>3.1954440371533082</v>
      </c>
      <c r="J77" s="37">
        <v>8.1999999999999993</v>
      </c>
      <c r="K77" s="37">
        <v>8.1999999999999993</v>
      </c>
      <c r="L77" s="37">
        <v>8.1999999999999993</v>
      </c>
      <c r="T77" s="3"/>
      <c r="U77" s="21">
        <v>43281</v>
      </c>
      <c r="V77" s="37">
        <v>8.1999999999999993</v>
      </c>
      <c r="W77" s="37">
        <v>8.1999999999999993</v>
      </c>
      <c r="X77" s="37">
        <v>8.1999999999999993</v>
      </c>
    </row>
    <row r="78" spans="8:24" ht="14.25" customHeight="1">
      <c r="H78" s="21">
        <v>43373</v>
      </c>
      <c r="I78" s="35">
        <v>3.0187317397612645</v>
      </c>
      <c r="J78" s="37">
        <v>7.8</v>
      </c>
      <c r="K78" s="37">
        <v>7.8</v>
      </c>
      <c r="L78" s="37">
        <v>7.8</v>
      </c>
      <c r="T78" s="3"/>
      <c r="U78" s="21">
        <v>43373</v>
      </c>
      <c r="V78" s="37">
        <v>7.8</v>
      </c>
      <c r="W78" s="37">
        <v>7.8</v>
      </c>
      <c r="X78" s="37">
        <v>7.8</v>
      </c>
    </row>
    <row r="79" spans="8:24" ht="14.25" customHeight="1">
      <c r="H79" s="21">
        <v>43465</v>
      </c>
      <c r="I79" s="35">
        <v>2.2246762643534908</v>
      </c>
      <c r="J79" s="37">
        <v>8.9</v>
      </c>
      <c r="K79" s="37">
        <v>8.9</v>
      </c>
      <c r="L79" s="37">
        <v>8.9</v>
      </c>
      <c r="T79" s="3"/>
      <c r="U79" s="21">
        <v>43465</v>
      </c>
      <c r="V79" s="37">
        <v>8.9</v>
      </c>
      <c r="W79" s="37">
        <v>8.9</v>
      </c>
      <c r="X79" s="37">
        <v>8.9</v>
      </c>
    </row>
    <row r="80" spans="8:24" ht="14.25" customHeight="1">
      <c r="H80" s="21">
        <v>43555</v>
      </c>
      <c r="I80" s="35">
        <v>4.0705329672531008</v>
      </c>
      <c r="J80" s="37">
        <v>8.9</v>
      </c>
      <c r="K80" s="37">
        <v>8.9</v>
      </c>
      <c r="L80" s="37">
        <v>8.9</v>
      </c>
      <c r="T80" s="3"/>
      <c r="U80" s="21">
        <v>43555</v>
      </c>
      <c r="V80" s="37">
        <v>8.9</v>
      </c>
      <c r="W80" s="37">
        <v>8.9</v>
      </c>
      <c r="X80" s="37">
        <v>8.9</v>
      </c>
    </row>
    <row r="81" spans="8:24" ht="14.25" customHeight="1">
      <c r="H81" s="21">
        <v>43646</v>
      </c>
      <c r="I81" s="35">
        <v>2.4152267073920939</v>
      </c>
      <c r="J81" s="37">
        <v>6.7</v>
      </c>
      <c r="K81" s="37">
        <v>6.7</v>
      </c>
      <c r="L81" s="37">
        <v>6.7</v>
      </c>
      <c r="T81" s="3"/>
      <c r="U81" s="21">
        <v>43646</v>
      </c>
      <c r="V81" s="37">
        <v>6.7</v>
      </c>
      <c r="W81" s="37">
        <v>6.7</v>
      </c>
      <c r="X81" s="37">
        <v>6.7</v>
      </c>
    </row>
    <row r="82" spans="8:24" ht="14.25" customHeight="1">
      <c r="H82" s="21">
        <v>43738</v>
      </c>
      <c r="I82" s="35">
        <v>2.9208867078742315</v>
      </c>
      <c r="J82" s="37">
        <v>6.7</v>
      </c>
      <c r="K82" s="37">
        <v>6.7</v>
      </c>
      <c r="L82" s="37">
        <v>6.7</v>
      </c>
      <c r="T82" s="3"/>
      <c r="U82" s="21">
        <v>43738</v>
      </c>
      <c r="V82" s="37">
        <v>6.7</v>
      </c>
      <c r="W82" s="37">
        <v>6.7</v>
      </c>
      <c r="X82" s="37">
        <v>6.7</v>
      </c>
    </row>
    <row r="83" spans="8:24" ht="14.25" customHeight="1">
      <c r="H83" s="21">
        <v>43830</v>
      </c>
      <c r="I83" s="35">
        <v>2.4684831745114195</v>
      </c>
      <c r="J83" s="37">
        <v>7.8807323919736199</v>
      </c>
      <c r="K83" s="37">
        <v>7.8807323919736199</v>
      </c>
      <c r="L83" s="37">
        <v>7.8807323919736199</v>
      </c>
      <c r="T83" s="3"/>
      <c r="U83" s="21">
        <v>43830</v>
      </c>
      <c r="V83" s="37">
        <v>7.8807323919736199</v>
      </c>
      <c r="W83" s="37">
        <v>7.8807323919736199</v>
      </c>
      <c r="X83" s="37">
        <v>7.8807323919736199</v>
      </c>
    </row>
    <row r="84" spans="8:24" ht="14.25" customHeight="1">
      <c r="H84" s="85">
        <v>43921</v>
      </c>
      <c r="I84" s="162">
        <f>bdp!BA109*100</f>
        <v>-11.387910686586089</v>
      </c>
      <c r="J84" s="163">
        <f t="shared" ref="J84:J87" si="74">J83+($J$91+$J$92*$I84)*($I84/SUM($I$84:$I$87))</f>
        <v>8.309243245903783</v>
      </c>
      <c r="K84" s="163">
        <f t="shared" ref="K84:K87" si="75">K83+($K$91+$K$92*$I84)*($I84/SUM($I$84:$I$87))</f>
        <v>8.3144990432344343</v>
      </c>
      <c r="L84" s="163">
        <f t="shared" ref="L84:L87" si="76">L83+($L$91+$L$92*$I84)*($I84/SUM($I$84:$I$87))</f>
        <v>8.5177039603368332</v>
      </c>
      <c r="T84" s="3"/>
      <c r="U84" s="85">
        <v>43921</v>
      </c>
      <c r="V84" s="163">
        <f>V83+($K$91+$K$92*bdp!BA109*100)*(bdp!BA109*100/SUM($I$84:$I$87))</f>
        <v>8.3144990432344343</v>
      </c>
      <c r="W84" s="163">
        <f>W83+($K$91+$K$92*bdp!BB109*100)*(bdp!BB109*100/SUM($I$84:$I$87))</f>
        <v>8.3144990432344343</v>
      </c>
      <c r="X84" s="163">
        <f>X83+($K$91+$K$92*bdp!BC109*100)*(bdp!BC109*100/SUM($I$84:$I$87))</f>
        <v>8.3144990432344343</v>
      </c>
    </row>
    <row r="85" spans="8:24" ht="14.25" customHeight="1">
      <c r="H85" s="85">
        <v>44012</v>
      </c>
      <c r="I85" s="162">
        <f>bdp!BA110*100</f>
        <v>-35.923490975869697</v>
      </c>
      <c r="J85" s="163">
        <f t="shared" si="74"/>
        <v>12.298844967133036</v>
      </c>
      <c r="K85" s="163">
        <f t="shared" si="75"/>
        <v>12.613774987784069</v>
      </c>
      <c r="L85" s="163">
        <f t="shared" si="76"/>
        <v>15.216563604885025</v>
      </c>
      <c r="T85" s="3"/>
      <c r="U85" s="85">
        <v>44012</v>
      </c>
      <c r="V85" s="163">
        <f>V84+($K$91+$K$92*bdp!BA110*100)*(bdp!BA110*100/SUM($I$84:$I$87))</f>
        <v>12.613774987784069</v>
      </c>
      <c r="W85" s="163">
        <f>W84+($K$91+$K$92*bdp!BB110*100)*(bdp!BB110*100/SUM($I$84:$I$87))</f>
        <v>12.613774987784069</v>
      </c>
      <c r="X85" s="163">
        <f>X84+($K$91+$K$92*bdp!BC110*100)*(bdp!BC110*100/SUM($I$84:$I$87))</f>
        <v>12.613774987784069</v>
      </c>
    </row>
    <row r="86" spans="8:24" ht="14.25" customHeight="1">
      <c r="H86" s="85">
        <v>44104</v>
      </c>
      <c r="I86" s="162">
        <f>bdp!BA111*100</f>
        <v>-29.430872060158453</v>
      </c>
      <c r="J86" s="163">
        <f t="shared" si="74"/>
        <v>14.995515809230879</v>
      </c>
      <c r="K86" s="163">
        <f t="shared" si="75"/>
        <v>15.500609898586351</v>
      </c>
      <c r="L86" s="163">
        <f t="shared" si="76"/>
        <v>19.688046551857891</v>
      </c>
      <c r="T86" s="3"/>
      <c r="U86" s="85">
        <v>44104</v>
      </c>
      <c r="V86" s="163">
        <f>V85+($K$91+$K$92*bdp!BA111*100)*(bdp!BA111*100/SUM($I$84:$I$87))</f>
        <v>15.500609898586351</v>
      </c>
      <c r="W86" s="163">
        <f>W85+($K$91+$K$92*bdp!BB111*100)*(bdp!BB111*100/SUM($I$84:$I$87))</f>
        <v>14.496425006485921</v>
      </c>
      <c r="X86" s="163">
        <f>X85+($K$91+$K$92*bdp!BC111*100)*(bdp!BC111*100/SUM($I$84:$I$87))</f>
        <v>13.663762787332463</v>
      </c>
    </row>
    <row r="87" spans="8:24" ht="14.25" customHeight="1">
      <c r="H87" s="85">
        <v>44196</v>
      </c>
      <c r="I87" s="162">
        <f>bdp!BA112*100</f>
        <v>-13.474692108399754</v>
      </c>
      <c r="J87" s="163">
        <f t="shared" si="74"/>
        <v>15.586702615235376</v>
      </c>
      <c r="K87" s="163">
        <f t="shared" si="75"/>
        <v>16.107365973375572</v>
      </c>
      <c r="L87" s="163">
        <f t="shared" si="76"/>
        <v>20.591346122216741</v>
      </c>
      <c r="T87" s="3"/>
      <c r="U87" s="85">
        <v>44196</v>
      </c>
      <c r="V87" s="163">
        <f>V86+($K$91+$K$92*bdp!BA112*100)*(bdp!BA112*100/SUM($I$84:$I$87))</f>
        <v>16.107365973375572</v>
      </c>
      <c r="W87" s="163">
        <f>W86+($K$91+$K$92*bdp!BB112*100)*(bdp!BB112*100/SUM($I$84:$I$87))</f>
        <v>14.809541522046308</v>
      </c>
      <c r="X87" s="163">
        <f>X86+($K$91+$K$92*bdp!BC112*100)*(bdp!BC112*100/SUM($I$84:$I$87))</f>
        <v>13.713073860286137</v>
      </c>
    </row>
    <row r="88" spans="8:24" ht="14.25" customHeight="1">
      <c r="T88" s="3"/>
    </row>
    <row r="89" spans="8:24" ht="14.25" customHeight="1">
      <c r="I89" s="102" t="s">
        <v>183</v>
      </c>
      <c r="J89" s="109" t="s">
        <v>18</v>
      </c>
      <c r="K89" s="109" t="s">
        <v>19</v>
      </c>
      <c r="L89" s="109" t="s">
        <v>20</v>
      </c>
      <c r="T89" s="3"/>
    </row>
    <row r="90" spans="8:24" ht="14.25" customHeight="1">
      <c r="I90" s="109"/>
      <c r="J90" s="109" t="s">
        <v>316</v>
      </c>
      <c r="K90" s="109" t="s">
        <v>317</v>
      </c>
      <c r="L90" s="109" t="s">
        <v>318</v>
      </c>
      <c r="T90" s="3"/>
    </row>
    <row r="91" spans="8:24" ht="14.25" customHeight="1">
      <c r="I91" s="109" t="s">
        <v>192</v>
      </c>
      <c r="J91" s="168">
        <v>0.32</v>
      </c>
      <c r="K91" s="168">
        <v>0.02</v>
      </c>
      <c r="L91" s="168">
        <v>-0.42</v>
      </c>
      <c r="T91" s="3"/>
    </row>
    <row r="92" spans="8:24" ht="14.25" customHeight="1">
      <c r="I92" s="109" t="s">
        <v>11</v>
      </c>
      <c r="J92" s="168">
        <v>-0.27</v>
      </c>
      <c r="K92" s="168">
        <v>-0.3</v>
      </c>
      <c r="L92" s="168">
        <v>-0.48</v>
      </c>
      <c r="T92" s="3"/>
    </row>
    <row r="93" spans="8:24" ht="14.25" customHeight="1">
      <c r="T93" s="3"/>
    </row>
    <row r="94" spans="8:24" ht="14.25" customHeight="1">
      <c r="T94" s="3"/>
    </row>
    <row r="95" spans="8:24" ht="14.25" customHeight="1">
      <c r="T95" s="3"/>
    </row>
    <row r="96" spans="8:24" ht="14.25" customHeight="1">
      <c r="T96" s="3"/>
    </row>
    <row r="97" spans="20:20" ht="14.25" customHeight="1">
      <c r="T97" s="3"/>
    </row>
    <row r="98" spans="20:20" ht="14.25" customHeight="1">
      <c r="T98" s="3"/>
    </row>
    <row r="99" spans="20:20" ht="14.25" customHeight="1">
      <c r="T99" s="3"/>
    </row>
    <row r="100" spans="20:20" ht="14.25" customHeight="1">
      <c r="T100" s="3"/>
    </row>
    <row r="101" spans="20:20" ht="14.25" customHeight="1">
      <c r="T101" s="3"/>
    </row>
    <row r="102" spans="20:20" ht="14.25" customHeight="1">
      <c r="T102" s="3"/>
    </row>
    <row r="103" spans="20:20" ht="14.25" customHeight="1">
      <c r="T103" s="3"/>
    </row>
    <row r="104" spans="20:20" ht="14.25" customHeight="1">
      <c r="T104" s="3"/>
    </row>
    <row r="105" spans="20:20" ht="14.25" customHeight="1">
      <c r="T105" s="3"/>
    </row>
    <row r="106" spans="20:20" ht="14.25" customHeight="1">
      <c r="T106" s="3"/>
    </row>
    <row r="107" spans="20:20" ht="14.25" customHeight="1">
      <c r="T107" s="3"/>
    </row>
    <row r="108" spans="20:20" ht="14.25" customHeight="1">
      <c r="T108" s="3"/>
    </row>
    <row r="109" spans="20:20" ht="14.25" customHeight="1">
      <c r="T109" s="3"/>
    </row>
    <row r="110" spans="20:20" ht="14.25" customHeight="1">
      <c r="T110" s="3"/>
    </row>
    <row r="111" spans="20:20" ht="14.25" customHeight="1">
      <c r="T111" s="3"/>
    </row>
    <row r="112" spans="20:20" ht="14.25" customHeight="1">
      <c r="T112" s="3"/>
    </row>
    <row r="113" spans="20:20" ht="14.25" customHeight="1">
      <c r="T113" s="3"/>
    </row>
    <row r="114" spans="20:20" ht="14.25" customHeight="1">
      <c r="T114" s="3"/>
    </row>
    <row r="115" spans="20:20" ht="14.25" customHeight="1">
      <c r="T115" s="3"/>
    </row>
    <row r="116" spans="20:20" ht="14.25" customHeight="1">
      <c r="T116" s="3"/>
    </row>
    <row r="117" spans="20:20" ht="14.25" customHeight="1">
      <c r="T117" s="3"/>
    </row>
    <row r="118" spans="20:20" ht="14.25" customHeight="1">
      <c r="T118" s="3"/>
    </row>
    <row r="119" spans="20:20" ht="14.25" customHeight="1">
      <c r="T119" s="3"/>
    </row>
    <row r="120" spans="20:20" ht="14.25" customHeight="1">
      <c r="T120" s="3"/>
    </row>
    <row r="121" spans="20:20" ht="14.25" customHeight="1">
      <c r="T121" s="3"/>
    </row>
    <row r="122" spans="20:20" ht="14.25" customHeight="1">
      <c r="T122" s="3"/>
    </row>
    <row r="123" spans="20:20" ht="14.25" customHeight="1">
      <c r="T123" s="3"/>
    </row>
    <row r="124" spans="20:20" ht="14.25" customHeight="1">
      <c r="T124" s="3"/>
    </row>
    <row r="125" spans="20:20" ht="14.25" customHeight="1">
      <c r="T125" s="3"/>
    </row>
    <row r="126" spans="20:20" ht="14.25" customHeight="1">
      <c r="T126" s="3"/>
    </row>
    <row r="127" spans="20:20" ht="14.25" customHeight="1">
      <c r="T127" s="3"/>
    </row>
    <row r="128" spans="20:20" ht="14.25" customHeight="1">
      <c r="T128" s="3"/>
    </row>
    <row r="129" spans="20:20" ht="14.25" customHeight="1">
      <c r="T129" s="3"/>
    </row>
    <row r="130" spans="20:20" ht="14.25" customHeight="1">
      <c r="T130" s="3"/>
    </row>
    <row r="131" spans="20:20" ht="14.25" customHeight="1">
      <c r="T131" s="3"/>
    </row>
    <row r="132" spans="20:20" ht="14.25" customHeight="1">
      <c r="T132" s="3"/>
    </row>
    <row r="133" spans="20:20" ht="14.25" customHeight="1">
      <c r="T133" s="3"/>
    </row>
    <row r="134" spans="20:20" ht="14.25" customHeight="1">
      <c r="T134" s="3"/>
    </row>
    <row r="135" spans="20:20" ht="14.25" customHeight="1">
      <c r="T135" s="3"/>
    </row>
    <row r="136" spans="20:20" ht="14.25" customHeight="1">
      <c r="T136" s="3"/>
    </row>
    <row r="137" spans="20:20" ht="14.25" customHeight="1">
      <c r="T137" s="3"/>
    </row>
    <row r="138" spans="20:20" ht="14.25" customHeight="1">
      <c r="T138" s="3"/>
    </row>
    <row r="139" spans="20:20" ht="14.25" customHeight="1">
      <c r="T139" s="3"/>
    </row>
    <row r="140" spans="20:20" ht="14.25" customHeight="1">
      <c r="T140" s="3"/>
    </row>
    <row r="141" spans="20:20" ht="14.25" customHeight="1">
      <c r="T141" s="3"/>
    </row>
    <row r="142" spans="20:20" ht="14.25" customHeight="1">
      <c r="T142" s="3"/>
    </row>
    <row r="143" spans="20:20" ht="14.25" customHeight="1">
      <c r="T143" s="3"/>
    </row>
    <row r="144" spans="20:20" ht="14.25" customHeight="1">
      <c r="T144" s="3"/>
    </row>
    <row r="145" spans="20:20" ht="14.25" customHeight="1">
      <c r="T145" s="3"/>
    </row>
    <row r="146" spans="20:20" ht="14.25" customHeight="1">
      <c r="T146" s="3"/>
    </row>
    <row r="147" spans="20:20" ht="14.25" customHeight="1">
      <c r="T147" s="3"/>
    </row>
    <row r="148" spans="20:20" ht="14.25" customHeight="1">
      <c r="T148" s="3"/>
    </row>
    <row r="149" spans="20:20" ht="14.25" customHeight="1">
      <c r="T149" s="3"/>
    </row>
    <row r="150" spans="20:20" ht="14.25" customHeight="1">
      <c r="T150" s="3"/>
    </row>
    <row r="151" spans="20:20" ht="14.25" customHeight="1">
      <c r="T151" s="3"/>
    </row>
    <row r="152" spans="20:20" ht="14.25" customHeight="1">
      <c r="T152" s="3"/>
    </row>
    <row r="153" spans="20:20" ht="14.25" customHeight="1">
      <c r="T153" s="3"/>
    </row>
    <row r="154" spans="20:20" ht="14.25" customHeight="1">
      <c r="T154" s="3"/>
    </row>
    <row r="155" spans="20:20" ht="14.25" customHeight="1">
      <c r="T155" s="3"/>
    </row>
    <row r="156" spans="20:20" ht="14.25" customHeight="1">
      <c r="T156" s="3"/>
    </row>
    <row r="157" spans="20:20" ht="14.25" customHeight="1">
      <c r="T157" s="3"/>
    </row>
    <row r="158" spans="20:20" ht="14.25" customHeight="1">
      <c r="T158" s="3"/>
    </row>
    <row r="159" spans="20:20" ht="14.25" customHeight="1">
      <c r="T159" s="3"/>
    </row>
    <row r="160" spans="20:20" ht="14.25" customHeight="1">
      <c r="T160" s="3"/>
    </row>
    <row r="161" spans="20:20" ht="14.25" customHeight="1">
      <c r="T161" s="3"/>
    </row>
    <row r="162" spans="20:20" ht="14.25" customHeight="1">
      <c r="T162" s="3"/>
    </row>
    <row r="163" spans="20:20" ht="14.25" customHeight="1">
      <c r="T163" s="3"/>
    </row>
    <row r="164" spans="20:20" ht="14.25" customHeight="1">
      <c r="T164" s="3"/>
    </row>
    <row r="165" spans="20:20" ht="14.25" customHeight="1">
      <c r="T165" s="3"/>
    </row>
    <row r="166" spans="20:20" ht="14.25" customHeight="1">
      <c r="T166" s="3"/>
    </row>
    <row r="167" spans="20:20" ht="14.25" customHeight="1">
      <c r="T167" s="3"/>
    </row>
    <row r="168" spans="20:20" ht="14.25" customHeight="1">
      <c r="T168" s="3"/>
    </row>
    <row r="169" spans="20:20" ht="14.25" customHeight="1">
      <c r="T169" s="3"/>
    </row>
    <row r="170" spans="20:20" ht="14.25" customHeight="1">
      <c r="T170" s="3"/>
    </row>
    <row r="171" spans="20:20" ht="14.25" customHeight="1">
      <c r="T171" s="3"/>
    </row>
    <row r="172" spans="20:20" ht="14.25" customHeight="1">
      <c r="T172" s="3"/>
    </row>
    <row r="173" spans="20:20" ht="14.25" customHeight="1">
      <c r="T173" s="3"/>
    </row>
    <row r="174" spans="20:20" ht="14.25" customHeight="1">
      <c r="T174" s="3"/>
    </row>
    <row r="175" spans="20:20" ht="14.25" customHeight="1">
      <c r="T175" s="3"/>
    </row>
    <row r="176" spans="20:20" ht="14.25" customHeight="1">
      <c r="T176" s="3"/>
    </row>
    <row r="177" spans="20:20" ht="14.25" customHeight="1">
      <c r="T177" s="3"/>
    </row>
    <row r="178" spans="20:20" ht="14.25" customHeight="1">
      <c r="T178" s="3"/>
    </row>
    <row r="179" spans="20:20" ht="14.25" customHeight="1">
      <c r="T179" s="3"/>
    </row>
    <row r="180" spans="20:20" ht="14.25" customHeight="1">
      <c r="T180" s="3"/>
    </row>
    <row r="181" spans="20:20" ht="14.25" customHeight="1">
      <c r="T181" s="3"/>
    </row>
    <row r="182" spans="20:20" ht="14.25" customHeight="1">
      <c r="T182" s="3"/>
    </row>
    <row r="183" spans="20:20" ht="14.25" customHeight="1">
      <c r="T183" s="3"/>
    </row>
    <row r="184" spans="20:20" ht="14.25" customHeight="1">
      <c r="T184" s="3"/>
    </row>
    <row r="185" spans="20:20" ht="14.25" customHeight="1">
      <c r="T185" s="3"/>
    </row>
    <row r="186" spans="20:20" ht="14.25" customHeight="1">
      <c r="T186" s="3"/>
    </row>
    <row r="187" spans="20:20" ht="14.25" customHeight="1">
      <c r="T187" s="3"/>
    </row>
    <row r="188" spans="20:20" ht="14.25" customHeight="1">
      <c r="T188" s="3"/>
    </row>
    <row r="189" spans="20:20" ht="14.25" customHeight="1">
      <c r="T189" s="3"/>
    </row>
    <row r="190" spans="20:20" ht="14.25" customHeight="1">
      <c r="T190" s="3"/>
    </row>
    <row r="191" spans="20:20" ht="14.25" customHeight="1">
      <c r="T191" s="3"/>
    </row>
    <row r="192" spans="20:20" ht="14.25" customHeight="1">
      <c r="T192" s="3"/>
    </row>
    <row r="193" spans="20:20" ht="14.25" customHeight="1">
      <c r="T193" s="3"/>
    </row>
    <row r="194" spans="20:20" ht="14.25" customHeight="1">
      <c r="T194" s="3"/>
    </row>
    <row r="195" spans="20:20" ht="14.25" customHeight="1">
      <c r="T195" s="3"/>
    </row>
    <row r="196" spans="20:20" ht="14.25" customHeight="1">
      <c r="T196" s="3"/>
    </row>
    <row r="197" spans="20:20" ht="14.25" customHeight="1">
      <c r="T197" s="3"/>
    </row>
    <row r="198" spans="20:20" ht="14.25" customHeight="1">
      <c r="T198" s="3"/>
    </row>
    <row r="199" spans="20:20" ht="14.25" customHeight="1">
      <c r="T199" s="3"/>
    </row>
    <row r="200" spans="20:20" ht="14.25" customHeight="1">
      <c r="T200" s="3"/>
    </row>
    <row r="201" spans="20:20" ht="14.25" customHeight="1">
      <c r="T201" s="3"/>
    </row>
    <row r="202" spans="20:20" ht="14.25" customHeight="1">
      <c r="T202" s="3"/>
    </row>
    <row r="203" spans="20:20" ht="14.25" customHeight="1">
      <c r="T203" s="3"/>
    </row>
    <row r="204" spans="20:20" ht="14.25" customHeight="1">
      <c r="T204" s="3"/>
    </row>
    <row r="205" spans="20:20" ht="14.25" customHeight="1">
      <c r="T205" s="3"/>
    </row>
    <row r="206" spans="20:20" ht="14.25" customHeight="1">
      <c r="T206" s="3"/>
    </row>
    <row r="207" spans="20:20" ht="14.25" customHeight="1">
      <c r="T207" s="3"/>
    </row>
    <row r="208" spans="20:20" ht="14.25" customHeight="1">
      <c r="T208" s="3"/>
    </row>
    <row r="209" spans="20:20" ht="14.25" customHeight="1">
      <c r="T209" s="3"/>
    </row>
    <row r="210" spans="20:20" ht="14.25" customHeight="1">
      <c r="T210" s="3"/>
    </row>
    <row r="211" spans="20:20" ht="14.25" customHeight="1">
      <c r="T211" s="3"/>
    </row>
    <row r="212" spans="20:20" ht="14.25" customHeight="1">
      <c r="T212" s="3"/>
    </row>
    <row r="213" spans="20:20" ht="14.25" customHeight="1">
      <c r="T213" s="3"/>
    </row>
    <row r="214" spans="20:20" ht="14.25" customHeight="1">
      <c r="T214" s="3"/>
    </row>
    <row r="215" spans="20:20" ht="14.25" customHeight="1">
      <c r="T215" s="3"/>
    </row>
    <row r="216" spans="20:20" ht="14.25" customHeight="1">
      <c r="T216" s="3"/>
    </row>
    <row r="217" spans="20:20" ht="14.25" customHeight="1">
      <c r="T217" s="3"/>
    </row>
    <row r="218" spans="20:20" ht="14.25" customHeight="1">
      <c r="T218" s="3"/>
    </row>
    <row r="219" spans="20:20" ht="14.25" customHeight="1">
      <c r="T219" s="3"/>
    </row>
    <row r="220" spans="20:20" ht="14.25" customHeight="1">
      <c r="T220" s="3"/>
    </row>
    <row r="221" spans="20:20" ht="14.25" customHeight="1">
      <c r="T221" s="3"/>
    </row>
    <row r="222" spans="20:20" ht="14.25" customHeight="1">
      <c r="T222" s="3"/>
    </row>
    <row r="223" spans="20:20" ht="14.25" customHeight="1">
      <c r="T223" s="3"/>
    </row>
    <row r="224" spans="20:20" ht="14.25" customHeight="1">
      <c r="T224" s="3"/>
    </row>
    <row r="225" spans="20:20" ht="14.25" customHeight="1">
      <c r="T225" s="3"/>
    </row>
    <row r="226" spans="20:20" ht="14.25" customHeight="1">
      <c r="T226" s="3"/>
    </row>
    <row r="227" spans="20:20" ht="14.25" customHeight="1">
      <c r="T227" s="3"/>
    </row>
    <row r="228" spans="20:20" ht="14.25" customHeight="1">
      <c r="T228" s="3"/>
    </row>
    <row r="229" spans="20:20" ht="14.25" customHeight="1">
      <c r="T229" s="3"/>
    </row>
    <row r="230" spans="20:20" ht="14.25" customHeight="1">
      <c r="T230" s="3"/>
    </row>
    <row r="231" spans="20:20" ht="14.25" customHeight="1">
      <c r="T231" s="3"/>
    </row>
    <row r="232" spans="20:20" ht="14.25" customHeight="1">
      <c r="T232" s="3"/>
    </row>
    <row r="233" spans="20:20" ht="14.25" customHeight="1">
      <c r="T233" s="3"/>
    </row>
    <row r="234" spans="20:20" ht="14.25" customHeight="1">
      <c r="T234" s="3"/>
    </row>
    <row r="235" spans="20:20" ht="14.25" customHeight="1">
      <c r="T235" s="3"/>
    </row>
    <row r="236" spans="20:20" ht="14.25" customHeight="1">
      <c r="T236" s="3"/>
    </row>
    <row r="237" spans="20:20" ht="14.25" customHeight="1">
      <c r="T237" s="3"/>
    </row>
    <row r="238" spans="20:20" ht="14.25" customHeight="1">
      <c r="T238" s="3"/>
    </row>
    <row r="239" spans="20:20" ht="14.25" customHeight="1">
      <c r="T239" s="3"/>
    </row>
    <row r="240" spans="20:20" ht="14.25" customHeight="1">
      <c r="T240" s="3"/>
    </row>
    <row r="241" spans="20:20" ht="14.25" customHeight="1">
      <c r="T241" s="3"/>
    </row>
    <row r="242" spans="20:20" ht="14.25" customHeight="1">
      <c r="T242" s="3"/>
    </row>
    <row r="243" spans="20:20" ht="14.25" customHeight="1">
      <c r="T243" s="3"/>
    </row>
    <row r="244" spans="20:20" ht="14.25" customHeight="1">
      <c r="T244" s="3"/>
    </row>
    <row r="245" spans="20:20" ht="14.25" customHeight="1">
      <c r="T245" s="3"/>
    </row>
    <row r="246" spans="20:20" ht="14.25" customHeight="1">
      <c r="T246" s="3"/>
    </row>
    <row r="247" spans="20:20" ht="14.25" customHeight="1">
      <c r="T247" s="3"/>
    </row>
    <row r="248" spans="20:20" ht="14.25" customHeight="1">
      <c r="T248" s="3"/>
    </row>
    <row r="249" spans="20:20" ht="14.25" customHeight="1">
      <c r="T249" s="3"/>
    </row>
    <row r="250" spans="20:20" ht="14.25" customHeight="1">
      <c r="T250" s="3"/>
    </row>
    <row r="251" spans="20:20" ht="14.25" customHeight="1">
      <c r="T251" s="3"/>
    </row>
    <row r="252" spans="20:20" ht="14.25" customHeight="1">
      <c r="T252" s="3"/>
    </row>
    <row r="253" spans="20:20" ht="14.25" customHeight="1">
      <c r="T253" s="3"/>
    </row>
    <row r="254" spans="20:20" ht="14.25" customHeight="1">
      <c r="T254" s="3"/>
    </row>
    <row r="255" spans="20:20" ht="14.25" customHeight="1">
      <c r="T255" s="3"/>
    </row>
    <row r="256" spans="20:20" ht="14.25" customHeight="1">
      <c r="T256" s="3"/>
    </row>
    <row r="257" spans="20:20" ht="14.25" customHeight="1">
      <c r="T257" s="3"/>
    </row>
    <row r="258" spans="20:20" ht="14.25" customHeight="1">
      <c r="T258" s="3"/>
    </row>
    <row r="259" spans="20:20" ht="14.25" customHeight="1">
      <c r="T259" s="3"/>
    </row>
    <row r="260" spans="20:20" ht="14.25" customHeight="1">
      <c r="T260" s="3"/>
    </row>
    <row r="261" spans="20:20" ht="14.25" customHeight="1">
      <c r="T261" s="3"/>
    </row>
    <row r="262" spans="20:20" ht="14.25" customHeight="1">
      <c r="T262" s="3"/>
    </row>
    <row r="263" spans="20:20" ht="14.25" customHeight="1">
      <c r="T263" s="3"/>
    </row>
    <row r="264" spans="20:20" ht="14.25" customHeight="1">
      <c r="T264" s="3"/>
    </row>
    <row r="265" spans="20:20" ht="14.25" customHeight="1">
      <c r="T265" s="3"/>
    </row>
    <row r="266" spans="20:20" ht="14.25" customHeight="1">
      <c r="T266" s="3"/>
    </row>
    <row r="267" spans="20:20" ht="14.25" customHeight="1">
      <c r="T267" s="3"/>
    </row>
    <row r="268" spans="20:20" ht="14.25" customHeight="1">
      <c r="T268" s="3"/>
    </row>
    <row r="269" spans="20:20" ht="14.25" customHeight="1">
      <c r="T269" s="3"/>
    </row>
    <row r="270" spans="20:20" ht="14.25" customHeight="1">
      <c r="T270" s="3"/>
    </row>
    <row r="271" spans="20:20" ht="14.25" customHeight="1">
      <c r="T271" s="3"/>
    </row>
    <row r="272" spans="20:20" ht="14.25" customHeight="1">
      <c r="T272" s="3"/>
    </row>
    <row r="273" spans="20:20" ht="14.25" customHeight="1">
      <c r="T273" s="3"/>
    </row>
    <row r="274" spans="20:20" ht="14.25" customHeight="1">
      <c r="T274" s="3"/>
    </row>
    <row r="275" spans="20:20" ht="14.25" customHeight="1">
      <c r="T275" s="3"/>
    </row>
    <row r="276" spans="20:20" ht="14.25" customHeight="1">
      <c r="T276" s="3"/>
    </row>
    <row r="277" spans="20:20" ht="14.25" customHeight="1">
      <c r="T277" s="3"/>
    </row>
    <row r="278" spans="20:20" ht="14.25" customHeight="1">
      <c r="T278" s="3"/>
    </row>
    <row r="279" spans="20:20" ht="14.25" customHeight="1">
      <c r="T279" s="3"/>
    </row>
    <row r="280" spans="20:20" ht="14.25" customHeight="1">
      <c r="T280" s="3"/>
    </row>
    <row r="281" spans="20:20" ht="14.25" customHeight="1">
      <c r="T281" s="3"/>
    </row>
    <row r="282" spans="20:20" ht="14.25" customHeight="1">
      <c r="T282" s="3"/>
    </row>
    <row r="283" spans="20:20" ht="14.25" customHeight="1">
      <c r="T283" s="3"/>
    </row>
    <row r="284" spans="20:20" ht="14.25" customHeight="1">
      <c r="T284" s="3"/>
    </row>
    <row r="285" spans="20:20" ht="14.25" customHeight="1">
      <c r="T285" s="3"/>
    </row>
    <row r="286" spans="20:20" ht="14.25" customHeight="1">
      <c r="T286" s="3"/>
    </row>
    <row r="287" spans="20:20" ht="14.25" customHeight="1">
      <c r="T287" s="3"/>
    </row>
    <row r="288" spans="20:20" ht="14.25" customHeight="1">
      <c r="T288" s="3"/>
    </row>
    <row r="289" spans="20:20" ht="14.25" customHeight="1">
      <c r="T289" s="3"/>
    </row>
    <row r="290" spans="20:20" ht="14.25" customHeight="1">
      <c r="T290" s="3"/>
    </row>
    <row r="291" spans="20:20" ht="14.25" customHeight="1">
      <c r="T291" s="3"/>
    </row>
    <row r="292" spans="20:20" ht="14.25" customHeight="1">
      <c r="T292" s="3"/>
    </row>
    <row r="293" spans="20:20" ht="14.25" customHeight="1">
      <c r="T293" s="3"/>
    </row>
    <row r="294" spans="20:20" ht="14.25" customHeight="1">
      <c r="T294" s="3"/>
    </row>
    <row r="295" spans="20:20" ht="14.25" customHeight="1">
      <c r="T295" s="3"/>
    </row>
    <row r="296" spans="20:20" ht="14.25" customHeight="1">
      <c r="T296" s="3"/>
    </row>
    <row r="297" spans="20:20" ht="14.25" customHeight="1">
      <c r="T297" s="3"/>
    </row>
    <row r="298" spans="20:20" ht="14.25" customHeight="1">
      <c r="T298" s="3"/>
    </row>
    <row r="299" spans="20:20" ht="14.25" customHeight="1">
      <c r="T299" s="3"/>
    </row>
    <row r="300" spans="20:20" ht="14.25" customHeight="1">
      <c r="T300" s="3"/>
    </row>
    <row r="301" spans="20:20" ht="14.25" customHeight="1">
      <c r="T301" s="3"/>
    </row>
    <row r="302" spans="20:20" ht="14.25" customHeight="1">
      <c r="T302" s="3"/>
    </row>
    <row r="303" spans="20:20" ht="14.25" customHeight="1">
      <c r="T303" s="3"/>
    </row>
    <row r="304" spans="20:20" ht="14.25" customHeight="1">
      <c r="T304" s="3"/>
    </row>
    <row r="305" spans="20:20" ht="14.25" customHeight="1">
      <c r="T305" s="3"/>
    </row>
    <row r="306" spans="20:20" ht="14.25" customHeight="1">
      <c r="T306" s="3"/>
    </row>
    <row r="307" spans="20:20" ht="14.25" customHeight="1">
      <c r="T307" s="3"/>
    </row>
    <row r="308" spans="20:20" ht="14.25" customHeight="1">
      <c r="T308" s="3"/>
    </row>
    <row r="309" spans="20:20" ht="14.25" customHeight="1">
      <c r="T309" s="3"/>
    </row>
    <row r="310" spans="20:20" ht="14.25" customHeight="1">
      <c r="T310" s="3"/>
    </row>
    <row r="311" spans="20:20" ht="14.25" customHeight="1">
      <c r="T311" s="3"/>
    </row>
    <row r="312" spans="20:20" ht="14.25" customHeight="1">
      <c r="T312" s="3"/>
    </row>
    <row r="313" spans="20:20" ht="14.25" customHeight="1">
      <c r="T313" s="3"/>
    </row>
    <row r="314" spans="20:20" ht="14.25" customHeight="1">
      <c r="T314" s="3"/>
    </row>
    <row r="315" spans="20:20" ht="14.25" customHeight="1">
      <c r="T315" s="3"/>
    </row>
    <row r="316" spans="20:20" ht="14.25" customHeight="1">
      <c r="T316" s="3"/>
    </row>
    <row r="317" spans="20:20" ht="14.25" customHeight="1">
      <c r="T317" s="3"/>
    </row>
    <row r="318" spans="20:20" ht="14.25" customHeight="1">
      <c r="T318" s="3"/>
    </row>
    <row r="319" spans="20:20" ht="14.25" customHeight="1">
      <c r="T319" s="3"/>
    </row>
    <row r="320" spans="20:20" ht="14.25" customHeight="1">
      <c r="T320" s="3"/>
    </row>
    <row r="321" spans="20:20" ht="14.25" customHeight="1">
      <c r="T321" s="3"/>
    </row>
    <row r="322" spans="20:20" ht="14.25" customHeight="1">
      <c r="T322" s="3"/>
    </row>
    <row r="323" spans="20:20" ht="14.25" customHeight="1">
      <c r="T323" s="3"/>
    </row>
    <row r="324" spans="20:20" ht="14.25" customHeight="1">
      <c r="T324" s="3"/>
    </row>
    <row r="325" spans="20:20" ht="14.25" customHeight="1">
      <c r="T325" s="3"/>
    </row>
    <row r="326" spans="20:20" ht="14.25" customHeight="1">
      <c r="T326" s="3"/>
    </row>
    <row r="327" spans="20:20" ht="14.25" customHeight="1">
      <c r="T327" s="3"/>
    </row>
    <row r="328" spans="20:20" ht="14.25" customHeight="1">
      <c r="T328" s="3"/>
    </row>
    <row r="329" spans="20:20" ht="14.25" customHeight="1">
      <c r="T329" s="3"/>
    </row>
    <row r="330" spans="20:20" ht="14.25" customHeight="1">
      <c r="T330" s="3"/>
    </row>
    <row r="331" spans="20:20" ht="14.25" customHeight="1">
      <c r="T331" s="3"/>
    </row>
    <row r="332" spans="20:20" ht="14.25" customHeight="1">
      <c r="T332" s="3"/>
    </row>
    <row r="333" spans="20:20" ht="14.25" customHeight="1">
      <c r="T333" s="3"/>
    </row>
    <row r="334" spans="20:20" ht="14.25" customHeight="1">
      <c r="T334" s="3"/>
    </row>
    <row r="335" spans="20:20" ht="14.25" customHeight="1">
      <c r="T335" s="3"/>
    </row>
    <row r="336" spans="20:20" ht="14.25" customHeight="1">
      <c r="T336" s="3"/>
    </row>
    <row r="337" spans="20:20" ht="14.25" customHeight="1">
      <c r="T337" s="3"/>
    </row>
    <row r="338" spans="20:20" ht="14.25" customHeight="1">
      <c r="T338" s="3"/>
    </row>
    <row r="339" spans="20:20" ht="14.25" customHeight="1">
      <c r="T339" s="3"/>
    </row>
    <row r="340" spans="20:20" ht="14.25" customHeight="1">
      <c r="T340" s="3"/>
    </row>
    <row r="341" spans="20:20" ht="14.25" customHeight="1">
      <c r="T341" s="3"/>
    </row>
    <row r="342" spans="20:20" ht="14.25" customHeight="1">
      <c r="T342" s="3"/>
    </row>
    <row r="343" spans="20:20" ht="14.25" customHeight="1">
      <c r="T343" s="3"/>
    </row>
    <row r="344" spans="20:20" ht="14.25" customHeight="1">
      <c r="T344" s="3"/>
    </row>
    <row r="345" spans="20:20" ht="14.25" customHeight="1">
      <c r="T345" s="3"/>
    </row>
    <row r="346" spans="20:20" ht="14.25" customHeight="1">
      <c r="T346" s="3"/>
    </row>
    <row r="347" spans="20:20" ht="14.25" customHeight="1">
      <c r="T347" s="3"/>
    </row>
    <row r="348" spans="20:20" ht="14.25" customHeight="1">
      <c r="T348" s="3"/>
    </row>
    <row r="349" spans="20:20" ht="14.25" customHeight="1">
      <c r="T349" s="3"/>
    </row>
    <row r="350" spans="20:20" ht="14.25" customHeight="1">
      <c r="T350" s="3"/>
    </row>
    <row r="351" spans="20:20" ht="14.25" customHeight="1">
      <c r="T351" s="3"/>
    </row>
    <row r="352" spans="20:20" ht="14.25" customHeight="1">
      <c r="T352" s="3"/>
    </row>
    <row r="353" spans="20:20" ht="14.25" customHeight="1">
      <c r="T353" s="3"/>
    </row>
    <row r="354" spans="20:20" ht="14.25" customHeight="1">
      <c r="T354" s="3"/>
    </row>
    <row r="355" spans="20:20" ht="14.25" customHeight="1">
      <c r="T355" s="3"/>
    </row>
    <row r="356" spans="20:20" ht="14.25" customHeight="1">
      <c r="T356" s="3"/>
    </row>
    <row r="357" spans="20:20" ht="14.25" customHeight="1">
      <c r="T357" s="3"/>
    </row>
    <row r="358" spans="20:20" ht="14.25" customHeight="1">
      <c r="T358" s="3"/>
    </row>
    <row r="359" spans="20:20" ht="14.25" customHeight="1">
      <c r="T359" s="3"/>
    </row>
    <row r="360" spans="20:20" ht="14.25" customHeight="1">
      <c r="T360" s="3"/>
    </row>
    <row r="361" spans="20:20" ht="14.25" customHeight="1">
      <c r="T361" s="3"/>
    </row>
    <row r="362" spans="20:20" ht="14.25" customHeight="1">
      <c r="T362" s="3"/>
    </row>
    <row r="363" spans="20:20" ht="14.25" customHeight="1">
      <c r="T363" s="3"/>
    </row>
    <row r="364" spans="20:20" ht="14.25" customHeight="1">
      <c r="T364" s="3"/>
    </row>
    <row r="365" spans="20:20" ht="14.25" customHeight="1">
      <c r="T365" s="3"/>
    </row>
    <row r="366" spans="20:20" ht="14.25" customHeight="1">
      <c r="T366" s="3"/>
    </row>
    <row r="367" spans="20:20" ht="14.25" customHeight="1">
      <c r="T367" s="3"/>
    </row>
    <row r="368" spans="20:20" ht="14.25" customHeight="1">
      <c r="T368" s="3"/>
    </row>
    <row r="369" spans="20:20" ht="14.25" customHeight="1">
      <c r="T369" s="3"/>
    </row>
    <row r="370" spans="20:20" ht="14.25" customHeight="1">
      <c r="T370" s="3"/>
    </row>
    <row r="371" spans="20:20" ht="14.25" customHeight="1">
      <c r="T371" s="3"/>
    </row>
    <row r="372" spans="20:20" ht="14.25" customHeight="1">
      <c r="T372" s="3"/>
    </row>
    <row r="373" spans="20:20" ht="14.25" customHeight="1">
      <c r="T373" s="3"/>
    </row>
    <row r="374" spans="20:20" ht="14.25" customHeight="1">
      <c r="T374" s="3"/>
    </row>
    <row r="375" spans="20:20" ht="14.25" customHeight="1">
      <c r="T375" s="3"/>
    </row>
    <row r="376" spans="20:20" ht="14.25" customHeight="1">
      <c r="T376" s="3"/>
    </row>
    <row r="377" spans="20:20" ht="14.25" customHeight="1">
      <c r="T377" s="3"/>
    </row>
    <row r="378" spans="20:20" ht="14.25" customHeight="1">
      <c r="T378" s="3"/>
    </row>
    <row r="379" spans="20:20" ht="14.25" customHeight="1">
      <c r="T379" s="3"/>
    </row>
    <row r="380" spans="20:20" ht="14.25" customHeight="1">
      <c r="T380" s="3"/>
    </row>
    <row r="381" spans="20:20" ht="14.25" customHeight="1">
      <c r="T381" s="3"/>
    </row>
    <row r="382" spans="20:20" ht="14.25" customHeight="1">
      <c r="T382" s="3"/>
    </row>
    <row r="383" spans="20:20" ht="14.25" customHeight="1">
      <c r="T383" s="3"/>
    </row>
    <row r="384" spans="20:20" ht="14.25" customHeight="1">
      <c r="T384" s="3"/>
    </row>
    <row r="385" spans="20:20" ht="14.25" customHeight="1">
      <c r="T385" s="3"/>
    </row>
    <row r="386" spans="20:20" ht="14.25" customHeight="1">
      <c r="T386" s="3"/>
    </row>
    <row r="387" spans="20:20" ht="14.25" customHeight="1">
      <c r="T387" s="3"/>
    </row>
    <row r="388" spans="20:20" ht="14.25" customHeight="1">
      <c r="T388" s="3"/>
    </row>
    <row r="389" spans="20:20" ht="14.25" customHeight="1">
      <c r="T389" s="3"/>
    </row>
    <row r="390" spans="20:20" ht="14.25" customHeight="1">
      <c r="T390" s="3"/>
    </row>
    <row r="391" spans="20:20" ht="14.25" customHeight="1">
      <c r="T391" s="3"/>
    </row>
    <row r="392" spans="20:20" ht="14.25" customHeight="1">
      <c r="T392" s="3"/>
    </row>
    <row r="393" spans="20:20" ht="14.25" customHeight="1">
      <c r="T393" s="3"/>
    </row>
    <row r="394" spans="20:20" ht="14.25" customHeight="1">
      <c r="T394" s="3"/>
    </row>
    <row r="395" spans="20:20" ht="14.25" customHeight="1">
      <c r="T395" s="3"/>
    </row>
    <row r="396" spans="20:20" ht="14.25" customHeight="1">
      <c r="T396" s="3"/>
    </row>
    <row r="397" spans="20:20" ht="14.25" customHeight="1">
      <c r="T397" s="3"/>
    </row>
    <row r="398" spans="20:20" ht="14.25" customHeight="1">
      <c r="T398" s="3"/>
    </row>
    <row r="399" spans="20:20" ht="14.25" customHeight="1">
      <c r="T399" s="3"/>
    </row>
    <row r="400" spans="20:20" ht="14.25" customHeight="1">
      <c r="T400" s="3"/>
    </row>
    <row r="401" spans="20:20" ht="14.25" customHeight="1">
      <c r="T401" s="3"/>
    </row>
    <row r="402" spans="20:20" ht="14.25" customHeight="1">
      <c r="T402" s="3"/>
    </row>
    <row r="403" spans="20:20" ht="14.25" customHeight="1">
      <c r="T403" s="3"/>
    </row>
    <row r="404" spans="20:20" ht="14.25" customHeight="1">
      <c r="T404" s="3"/>
    </row>
    <row r="405" spans="20:20" ht="14.25" customHeight="1">
      <c r="T405" s="3"/>
    </row>
    <row r="406" spans="20:20" ht="14.25" customHeight="1">
      <c r="T406" s="3"/>
    </row>
    <row r="407" spans="20:20" ht="14.25" customHeight="1">
      <c r="T407" s="3"/>
    </row>
    <row r="408" spans="20:20" ht="14.25" customHeight="1">
      <c r="T408" s="3"/>
    </row>
    <row r="409" spans="20:20" ht="14.25" customHeight="1">
      <c r="T409" s="3"/>
    </row>
    <row r="410" spans="20:20" ht="14.25" customHeight="1">
      <c r="T410" s="3"/>
    </row>
    <row r="411" spans="20:20" ht="14.25" customHeight="1">
      <c r="T411" s="3"/>
    </row>
    <row r="412" spans="20:20" ht="14.25" customHeight="1">
      <c r="T412" s="3"/>
    </row>
    <row r="413" spans="20:20" ht="14.25" customHeight="1">
      <c r="T413" s="3"/>
    </row>
    <row r="414" spans="20:20" ht="14.25" customHeight="1">
      <c r="T414" s="3"/>
    </row>
    <row r="415" spans="20:20" ht="14.25" customHeight="1">
      <c r="T415" s="3"/>
    </row>
    <row r="416" spans="20:20" ht="14.25" customHeight="1">
      <c r="T416" s="3"/>
    </row>
    <row r="417" spans="20:20" ht="14.25" customHeight="1">
      <c r="T417" s="3"/>
    </row>
    <row r="418" spans="20:20" ht="14.25" customHeight="1">
      <c r="T418" s="3"/>
    </row>
    <row r="419" spans="20:20" ht="14.25" customHeight="1">
      <c r="T419" s="3"/>
    </row>
    <row r="420" spans="20:20" ht="14.25" customHeight="1">
      <c r="T420" s="3"/>
    </row>
    <row r="421" spans="20:20" ht="14.25" customHeight="1">
      <c r="T421" s="3"/>
    </row>
    <row r="422" spans="20:20" ht="14.25" customHeight="1">
      <c r="T422" s="3"/>
    </row>
    <row r="423" spans="20:20" ht="14.25" customHeight="1">
      <c r="T423" s="3"/>
    </row>
    <row r="424" spans="20:20" ht="14.25" customHeight="1">
      <c r="T424" s="3"/>
    </row>
    <row r="425" spans="20:20" ht="14.25" customHeight="1">
      <c r="T425" s="3"/>
    </row>
    <row r="426" spans="20:20" ht="14.25" customHeight="1">
      <c r="T426" s="3"/>
    </row>
    <row r="427" spans="20:20" ht="14.25" customHeight="1">
      <c r="T427" s="3"/>
    </row>
    <row r="428" spans="20:20" ht="14.25" customHeight="1">
      <c r="T428" s="3"/>
    </row>
    <row r="429" spans="20:20" ht="14.25" customHeight="1">
      <c r="T429" s="3"/>
    </row>
    <row r="430" spans="20:20" ht="14.25" customHeight="1">
      <c r="T430" s="3"/>
    </row>
    <row r="431" spans="20:20" ht="14.25" customHeight="1">
      <c r="T431" s="3"/>
    </row>
    <row r="432" spans="20:20" ht="14.25" customHeight="1">
      <c r="T432" s="3"/>
    </row>
    <row r="433" spans="20:20" ht="14.25" customHeight="1">
      <c r="T433" s="3"/>
    </row>
    <row r="434" spans="20:20" ht="14.25" customHeight="1">
      <c r="T434" s="3"/>
    </row>
    <row r="435" spans="20:20" ht="14.25" customHeight="1">
      <c r="T435" s="3"/>
    </row>
    <row r="436" spans="20:20" ht="14.25" customHeight="1">
      <c r="T436" s="3"/>
    </row>
    <row r="437" spans="20:20" ht="14.25" customHeight="1">
      <c r="T437" s="3"/>
    </row>
    <row r="438" spans="20:20" ht="14.25" customHeight="1">
      <c r="T438" s="3"/>
    </row>
    <row r="439" spans="20:20" ht="14.25" customHeight="1">
      <c r="T439" s="3"/>
    </row>
    <row r="440" spans="20:20" ht="14.25" customHeight="1">
      <c r="T440" s="3"/>
    </row>
    <row r="441" spans="20:20" ht="14.25" customHeight="1">
      <c r="T441" s="3"/>
    </row>
    <row r="442" spans="20:20" ht="14.25" customHeight="1">
      <c r="T442" s="3"/>
    </row>
    <row r="443" spans="20:20" ht="14.25" customHeight="1">
      <c r="T443" s="3"/>
    </row>
    <row r="444" spans="20:20" ht="14.25" customHeight="1">
      <c r="T444" s="3"/>
    </row>
    <row r="445" spans="20:20" ht="14.25" customHeight="1">
      <c r="T445" s="3"/>
    </row>
    <row r="446" spans="20:20" ht="14.25" customHeight="1">
      <c r="T446" s="3"/>
    </row>
    <row r="447" spans="20:20" ht="14.25" customHeight="1">
      <c r="T447" s="3"/>
    </row>
    <row r="448" spans="20:20" ht="14.25" customHeight="1">
      <c r="T448" s="3"/>
    </row>
    <row r="449" spans="20:20" ht="14.25" customHeight="1">
      <c r="T449" s="3"/>
    </row>
    <row r="450" spans="20:20" ht="14.25" customHeight="1">
      <c r="T450" s="3"/>
    </row>
    <row r="451" spans="20:20" ht="14.25" customHeight="1">
      <c r="T451" s="3"/>
    </row>
    <row r="452" spans="20:20" ht="14.25" customHeight="1">
      <c r="T452" s="3"/>
    </row>
    <row r="453" spans="20:20" ht="14.25" customHeight="1">
      <c r="T453" s="3"/>
    </row>
    <row r="454" spans="20:20" ht="14.25" customHeight="1">
      <c r="T454" s="3"/>
    </row>
    <row r="455" spans="20:20" ht="14.25" customHeight="1">
      <c r="T455" s="3"/>
    </row>
    <row r="456" spans="20:20" ht="14.25" customHeight="1">
      <c r="T456" s="3"/>
    </row>
    <row r="457" spans="20:20" ht="14.25" customHeight="1">
      <c r="T457" s="3"/>
    </row>
    <row r="458" spans="20:20" ht="14.25" customHeight="1">
      <c r="T458" s="3"/>
    </row>
    <row r="459" spans="20:20" ht="14.25" customHeight="1">
      <c r="T459" s="3"/>
    </row>
    <row r="460" spans="20:20" ht="14.25" customHeight="1">
      <c r="T460" s="3"/>
    </row>
    <row r="461" spans="20:20" ht="14.25" customHeight="1">
      <c r="T461" s="3"/>
    </row>
    <row r="462" spans="20:20" ht="14.25" customHeight="1">
      <c r="T462" s="3"/>
    </row>
    <row r="463" spans="20:20" ht="14.25" customHeight="1">
      <c r="T463" s="3"/>
    </row>
    <row r="464" spans="20:20" ht="14.25" customHeight="1">
      <c r="T464" s="3"/>
    </row>
    <row r="465" spans="20:20" ht="14.25" customHeight="1">
      <c r="T465" s="3"/>
    </row>
    <row r="466" spans="20:20" ht="14.25" customHeight="1">
      <c r="T466" s="3"/>
    </row>
    <row r="467" spans="20:20" ht="14.25" customHeight="1">
      <c r="T467" s="3"/>
    </row>
    <row r="468" spans="20:20" ht="14.25" customHeight="1">
      <c r="T468" s="3"/>
    </row>
    <row r="469" spans="20:20" ht="14.25" customHeight="1">
      <c r="T469" s="3"/>
    </row>
    <row r="470" spans="20:20" ht="14.25" customHeight="1">
      <c r="T470" s="3"/>
    </row>
    <row r="471" spans="20:20" ht="14.25" customHeight="1">
      <c r="T471" s="3"/>
    </row>
    <row r="472" spans="20:20" ht="14.25" customHeight="1">
      <c r="T472" s="3"/>
    </row>
    <row r="473" spans="20:20" ht="14.25" customHeight="1">
      <c r="T473" s="3"/>
    </row>
    <row r="474" spans="20:20" ht="14.25" customHeight="1">
      <c r="T474" s="3"/>
    </row>
    <row r="475" spans="20:20" ht="14.25" customHeight="1">
      <c r="T475" s="3"/>
    </row>
    <row r="476" spans="20:20" ht="14.25" customHeight="1">
      <c r="T476" s="3"/>
    </row>
    <row r="477" spans="20:20" ht="14.25" customHeight="1">
      <c r="T477" s="3"/>
    </row>
    <row r="478" spans="20:20" ht="14.25" customHeight="1">
      <c r="T478" s="3"/>
    </row>
    <row r="479" spans="20:20" ht="14.25" customHeight="1">
      <c r="T479" s="3"/>
    </row>
    <row r="480" spans="20:20" ht="14.25" customHeight="1">
      <c r="T480" s="3"/>
    </row>
    <row r="481" spans="20:20" ht="14.25" customHeight="1">
      <c r="T481" s="3"/>
    </row>
    <row r="482" spans="20:20" ht="14.25" customHeight="1">
      <c r="T482" s="3"/>
    </row>
    <row r="483" spans="20:20" ht="14.25" customHeight="1">
      <c r="T483" s="3"/>
    </row>
    <row r="484" spans="20:20" ht="14.25" customHeight="1">
      <c r="T484" s="3"/>
    </row>
    <row r="485" spans="20:20" ht="14.25" customHeight="1">
      <c r="T485" s="3"/>
    </row>
    <row r="486" spans="20:20" ht="14.25" customHeight="1">
      <c r="T486" s="3"/>
    </row>
    <row r="487" spans="20:20" ht="14.25" customHeight="1">
      <c r="T487" s="3"/>
    </row>
    <row r="488" spans="20:20" ht="14.25" customHeight="1">
      <c r="T488" s="3"/>
    </row>
    <row r="489" spans="20:20" ht="14.25" customHeight="1">
      <c r="T489" s="3"/>
    </row>
    <row r="490" spans="20:20" ht="14.25" customHeight="1">
      <c r="T490" s="3"/>
    </row>
    <row r="491" spans="20:20" ht="14.25" customHeight="1">
      <c r="T491" s="3"/>
    </row>
    <row r="492" spans="20:20" ht="14.25" customHeight="1">
      <c r="T492" s="3"/>
    </row>
    <row r="493" spans="20:20" ht="14.25" customHeight="1">
      <c r="T493" s="3"/>
    </row>
    <row r="494" spans="20:20" ht="14.25" customHeight="1">
      <c r="T494" s="3"/>
    </row>
    <row r="495" spans="20:20" ht="14.25" customHeight="1">
      <c r="T495" s="3"/>
    </row>
    <row r="496" spans="20:20" ht="14.25" customHeight="1">
      <c r="T496" s="3"/>
    </row>
    <row r="497" spans="20:20" ht="14.25" customHeight="1">
      <c r="T497" s="3"/>
    </row>
    <row r="498" spans="20:20" ht="14.25" customHeight="1">
      <c r="T498" s="3"/>
    </row>
    <row r="499" spans="20:20" ht="14.25" customHeight="1">
      <c r="T499" s="3"/>
    </row>
    <row r="500" spans="20:20" ht="14.25" customHeight="1">
      <c r="T500" s="3"/>
    </row>
    <row r="501" spans="20:20" ht="14.25" customHeight="1">
      <c r="T501" s="3"/>
    </row>
    <row r="502" spans="20:20" ht="14.25" customHeight="1">
      <c r="T502" s="3"/>
    </row>
    <row r="503" spans="20:20" ht="14.25" customHeight="1">
      <c r="T503" s="3"/>
    </row>
    <row r="504" spans="20:20" ht="14.25" customHeight="1">
      <c r="T504" s="3"/>
    </row>
    <row r="505" spans="20:20" ht="14.25" customHeight="1">
      <c r="T505" s="3"/>
    </row>
    <row r="506" spans="20:20" ht="14.25" customHeight="1">
      <c r="T506" s="3"/>
    </row>
    <row r="507" spans="20:20" ht="14.25" customHeight="1">
      <c r="T507" s="3"/>
    </row>
    <row r="508" spans="20:20" ht="14.25" customHeight="1">
      <c r="T508" s="3"/>
    </row>
    <row r="509" spans="20:20" ht="14.25" customHeight="1">
      <c r="T509" s="3"/>
    </row>
    <row r="510" spans="20:20" ht="14.25" customHeight="1">
      <c r="T510" s="3"/>
    </row>
    <row r="511" spans="20:20" ht="14.25" customHeight="1">
      <c r="T511" s="3"/>
    </row>
    <row r="512" spans="20:20" ht="14.25" customHeight="1">
      <c r="T512" s="3"/>
    </row>
    <row r="513" spans="20:20" ht="14.25" customHeight="1">
      <c r="T513" s="3"/>
    </row>
    <row r="514" spans="20:20" ht="14.25" customHeight="1">
      <c r="T514" s="3"/>
    </row>
    <row r="515" spans="20:20" ht="14.25" customHeight="1">
      <c r="T515" s="3"/>
    </row>
    <row r="516" spans="20:20" ht="14.25" customHeight="1">
      <c r="T516" s="3"/>
    </row>
    <row r="517" spans="20:20" ht="14.25" customHeight="1">
      <c r="T517" s="3"/>
    </row>
    <row r="518" spans="20:20" ht="14.25" customHeight="1">
      <c r="T518" s="3"/>
    </row>
    <row r="519" spans="20:20" ht="14.25" customHeight="1">
      <c r="T519" s="3"/>
    </row>
    <row r="520" spans="20:20" ht="14.25" customHeight="1">
      <c r="T520" s="3"/>
    </row>
    <row r="521" spans="20:20" ht="14.25" customHeight="1">
      <c r="T521" s="3"/>
    </row>
    <row r="522" spans="20:20" ht="14.25" customHeight="1">
      <c r="T522" s="3"/>
    </row>
    <row r="523" spans="20:20" ht="14.25" customHeight="1">
      <c r="T523" s="3"/>
    </row>
    <row r="524" spans="20:20" ht="14.25" customHeight="1">
      <c r="T524" s="3"/>
    </row>
    <row r="525" spans="20:20" ht="14.25" customHeight="1">
      <c r="T525" s="3"/>
    </row>
    <row r="526" spans="20:20" ht="14.25" customHeight="1">
      <c r="T526" s="3"/>
    </row>
    <row r="527" spans="20:20" ht="14.25" customHeight="1">
      <c r="T527" s="3"/>
    </row>
    <row r="528" spans="20:20" ht="14.25" customHeight="1">
      <c r="T528" s="3"/>
    </row>
    <row r="529" spans="20:20" ht="14.25" customHeight="1">
      <c r="T529" s="3"/>
    </row>
    <row r="530" spans="20:20" ht="14.25" customHeight="1">
      <c r="T530" s="3"/>
    </row>
    <row r="531" spans="20:20" ht="14.25" customHeight="1">
      <c r="T531" s="3"/>
    </row>
    <row r="532" spans="20:20" ht="14.25" customHeight="1">
      <c r="T532" s="3"/>
    </row>
    <row r="533" spans="20:20" ht="14.25" customHeight="1">
      <c r="T533" s="3"/>
    </row>
    <row r="534" spans="20:20" ht="14.25" customHeight="1">
      <c r="T534" s="3"/>
    </row>
    <row r="535" spans="20:20" ht="14.25" customHeight="1">
      <c r="T535" s="3"/>
    </row>
    <row r="536" spans="20:20" ht="14.25" customHeight="1">
      <c r="T536" s="3"/>
    </row>
    <row r="537" spans="20:20" ht="14.25" customHeight="1">
      <c r="T537" s="3"/>
    </row>
    <row r="538" spans="20:20" ht="14.25" customHeight="1">
      <c r="T538" s="3"/>
    </row>
    <row r="539" spans="20:20" ht="14.25" customHeight="1">
      <c r="T539" s="3"/>
    </row>
    <row r="540" spans="20:20" ht="14.25" customHeight="1">
      <c r="T540" s="3"/>
    </row>
    <row r="541" spans="20:20" ht="14.25" customHeight="1">
      <c r="T541" s="3"/>
    </row>
    <row r="542" spans="20:20" ht="14.25" customHeight="1">
      <c r="T542" s="3"/>
    </row>
    <row r="543" spans="20:20" ht="14.25" customHeight="1">
      <c r="T543" s="3"/>
    </row>
    <row r="544" spans="20:20" ht="14.25" customHeight="1">
      <c r="T544" s="3"/>
    </row>
    <row r="545" spans="20:20" ht="14.25" customHeight="1">
      <c r="T545" s="3"/>
    </row>
    <row r="546" spans="20:20" ht="14.25" customHeight="1">
      <c r="T546" s="3"/>
    </row>
    <row r="547" spans="20:20" ht="14.25" customHeight="1">
      <c r="T547" s="3"/>
    </row>
    <row r="548" spans="20:20" ht="14.25" customHeight="1">
      <c r="T548" s="3"/>
    </row>
    <row r="549" spans="20:20" ht="14.25" customHeight="1">
      <c r="T549" s="3"/>
    </row>
    <row r="550" spans="20:20" ht="14.25" customHeight="1">
      <c r="T550" s="3"/>
    </row>
    <row r="551" spans="20:20" ht="14.25" customHeight="1">
      <c r="T551" s="3"/>
    </row>
    <row r="552" spans="20:20" ht="14.25" customHeight="1">
      <c r="T552" s="3"/>
    </row>
    <row r="553" spans="20:20" ht="14.25" customHeight="1">
      <c r="T553" s="3"/>
    </row>
    <row r="554" spans="20:20" ht="14.25" customHeight="1">
      <c r="T554" s="3"/>
    </row>
    <row r="555" spans="20:20" ht="14.25" customHeight="1">
      <c r="T555" s="3"/>
    </row>
    <row r="556" spans="20:20" ht="14.25" customHeight="1">
      <c r="T556" s="3"/>
    </row>
    <row r="557" spans="20:20" ht="14.25" customHeight="1">
      <c r="T557" s="3"/>
    </row>
    <row r="558" spans="20:20" ht="14.25" customHeight="1">
      <c r="T558" s="3"/>
    </row>
    <row r="559" spans="20:20" ht="14.25" customHeight="1">
      <c r="T559" s="3"/>
    </row>
    <row r="560" spans="20:20" ht="14.25" customHeight="1">
      <c r="T560" s="3"/>
    </row>
    <row r="561" spans="20:20" ht="14.25" customHeight="1">
      <c r="T561" s="3"/>
    </row>
    <row r="562" spans="20:20" ht="14.25" customHeight="1">
      <c r="T562" s="3"/>
    </row>
    <row r="563" spans="20:20" ht="14.25" customHeight="1">
      <c r="T563" s="3"/>
    </row>
    <row r="564" spans="20:20" ht="14.25" customHeight="1">
      <c r="T564" s="3"/>
    </row>
    <row r="565" spans="20:20" ht="14.25" customHeight="1">
      <c r="T565" s="3"/>
    </row>
    <row r="566" spans="20:20" ht="14.25" customHeight="1">
      <c r="T566" s="3"/>
    </row>
    <row r="567" spans="20:20" ht="14.25" customHeight="1">
      <c r="T567" s="3"/>
    </row>
    <row r="568" spans="20:20" ht="14.25" customHeight="1">
      <c r="T568" s="3"/>
    </row>
    <row r="569" spans="20:20" ht="14.25" customHeight="1">
      <c r="T569" s="3"/>
    </row>
    <row r="570" spans="20:20" ht="14.25" customHeight="1">
      <c r="T570" s="3"/>
    </row>
    <row r="571" spans="20:20" ht="14.25" customHeight="1">
      <c r="T571" s="3"/>
    </row>
    <row r="572" spans="20:20" ht="14.25" customHeight="1">
      <c r="T572" s="3"/>
    </row>
    <row r="573" spans="20:20" ht="14.25" customHeight="1">
      <c r="T573" s="3"/>
    </row>
    <row r="574" spans="20:20" ht="14.25" customHeight="1">
      <c r="T574" s="3"/>
    </row>
    <row r="575" spans="20:20" ht="14.25" customHeight="1">
      <c r="T575" s="3"/>
    </row>
    <row r="576" spans="20:20" ht="14.25" customHeight="1">
      <c r="T576" s="3"/>
    </row>
    <row r="577" spans="20:20" ht="14.25" customHeight="1">
      <c r="T577" s="3"/>
    </row>
    <row r="578" spans="20:20" ht="14.25" customHeight="1">
      <c r="T578" s="3"/>
    </row>
    <row r="579" spans="20:20" ht="14.25" customHeight="1">
      <c r="T579" s="3"/>
    </row>
    <row r="580" spans="20:20" ht="14.25" customHeight="1">
      <c r="T580" s="3"/>
    </row>
    <row r="581" spans="20:20" ht="14.25" customHeight="1">
      <c r="T581" s="3"/>
    </row>
    <row r="582" spans="20:20" ht="14.25" customHeight="1">
      <c r="T582" s="3"/>
    </row>
    <row r="583" spans="20:20" ht="14.25" customHeight="1">
      <c r="T583" s="3"/>
    </row>
    <row r="584" spans="20:20" ht="14.25" customHeight="1">
      <c r="T584" s="3"/>
    </row>
    <row r="585" spans="20:20" ht="14.25" customHeight="1">
      <c r="T585" s="3"/>
    </row>
    <row r="586" spans="20:20" ht="14.25" customHeight="1">
      <c r="T586" s="3"/>
    </row>
    <row r="587" spans="20:20" ht="14.25" customHeight="1">
      <c r="T587" s="3"/>
    </row>
    <row r="588" spans="20:20" ht="14.25" customHeight="1">
      <c r="T588" s="3"/>
    </row>
    <row r="589" spans="20:20" ht="14.25" customHeight="1">
      <c r="T589" s="3"/>
    </row>
    <row r="590" spans="20:20" ht="14.25" customHeight="1">
      <c r="T590" s="3"/>
    </row>
    <row r="591" spans="20:20" ht="14.25" customHeight="1">
      <c r="T591" s="3"/>
    </row>
    <row r="592" spans="20:20" ht="14.25" customHeight="1">
      <c r="T592" s="3"/>
    </row>
    <row r="593" spans="20:20" ht="14.25" customHeight="1">
      <c r="T593" s="3"/>
    </row>
    <row r="594" spans="20:20" ht="14.25" customHeight="1">
      <c r="T594" s="3"/>
    </row>
    <row r="595" spans="20:20" ht="14.25" customHeight="1">
      <c r="T595" s="3"/>
    </row>
    <row r="596" spans="20:20" ht="14.25" customHeight="1">
      <c r="T596" s="3"/>
    </row>
    <row r="597" spans="20:20" ht="14.25" customHeight="1">
      <c r="T597" s="3"/>
    </row>
    <row r="598" spans="20:20" ht="14.25" customHeight="1">
      <c r="T598" s="3"/>
    </row>
    <row r="599" spans="20:20" ht="14.25" customHeight="1">
      <c r="T599" s="3"/>
    </row>
    <row r="600" spans="20:20" ht="14.25" customHeight="1">
      <c r="T600" s="3"/>
    </row>
    <row r="601" spans="20:20" ht="14.25" customHeight="1">
      <c r="T601" s="3"/>
    </row>
    <row r="602" spans="20:20" ht="14.25" customHeight="1">
      <c r="T602" s="3"/>
    </row>
    <row r="603" spans="20:20" ht="14.25" customHeight="1">
      <c r="T603" s="3"/>
    </row>
    <row r="604" spans="20:20" ht="14.25" customHeight="1">
      <c r="T604" s="3"/>
    </row>
    <row r="605" spans="20:20" ht="14.25" customHeight="1">
      <c r="T605" s="3"/>
    </row>
    <row r="606" spans="20:20" ht="14.25" customHeight="1">
      <c r="T606" s="3"/>
    </row>
    <row r="607" spans="20:20" ht="14.25" customHeight="1">
      <c r="T607" s="3"/>
    </row>
    <row r="608" spans="20:20" ht="14.25" customHeight="1">
      <c r="T608" s="3"/>
    </row>
    <row r="609" spans="20:20" ht="14.25" customHeight="1">
      <c r="T609" s="3"/>
    </row>
    <row r="610" spans="20:20" ht="14.25" customHeight="1">
      <c r="T610" s="3"/>
    </row>
    <row r="611" spans="20:20" ht="14.25" customHeight="1">
      <c r="T611" s="3"/>
    </row>
    <row r="612" spans="20:20" ht="14.25" customHeight="1">
      <c r="T612" s="3"/>
    </row>
    <row r="613" spans="20:20" ht="14.25" customHeight="1">
      <c r="T613" s="3"/>
    </row>
    <row r="614" spans="20:20" ht="14.25" customHeight="1">
      <c r="T614" s="3"/>
    </row>
    <row r="615" spans="20:20" ht="14.25" customHeight="1">
      <c r="T615" s="3"/>
    </row>
    <row r="616" spans="20:20" ht="14.25" customHeight="1">
      <c r="T616" s="3"/>
    </row>
    <row r="617" spans="20:20" ht="14.25" customHeight="1">
      <c r="T617" s="3"/>
    </row>
    <row r="618" spans="20:20" ht="14.25" customHeight="1">
      <c r="T618" s="3"/>
    </row>
    <row r="619" spans="20:20" ht="14.25" customHeight="1">
      <c r="T619" s="3"/>
    </row>
    <row r="620" spans="20:20" ht="14.25" customHeight="1">
      <c r="T620" s="3"/>
    </row>
    <row r="621" spans="20:20" ht="14.25" customHeight="1">
      <c r="T621" s="3"/>
    </row>
    <row r="622" spans="20:20" ht="14.25" customHeight="1">
      <c r="T622" s="3"/>
    </row>
    <row r="623" spans="20:20" ht="14.25" customHeight="1">
      <c r="T623" s="3"/>
    </row>
    <row r="624" spans="20:20" ht="14.25" customHeight="1">
      <c r="T624" s="3"/>
    </row>
    <row r="625" spans="20:20" ht="14.25" customHeight="1">
      <c r="T625" s="3"/>
    </row>
    <row r="626" spans="20:20" ht="14.25" customHeight="1">
      <c r="T626" s="3"/>
    </row>
    <row r="627" spans="20:20" ht="14.25" customHeight="1">
      <c r="T627" s="3"/>
    </row>
    <row r="628" spans="20:20" ht="14.25" customHeight="1">
      <c r="T628" s="3"/>
    </row>
    <row r="629" spans="20:20" ht="14.25" customHeight="1">
      <c r="T629" s="3"/>
    </row>
    <row r="630" spans="20:20" ht="14.25" customHeight="1">
      <c r="T630" s="3"/>
    </row>
    <row r="631" spans="20:20" ht="14.25" customHeight="1">
      <c r="T631" s="3"/>
    </row>
    <row r="632" spans="20:20" ht="14.25" customHeight="1">
      <c r="T632" s="3"/>
    </row>
    <row r="633" spans="20:20" ht="14.25" customHeight="1">
      <c r="T633" s="3"/>
    </row>
    <row r="634" spans="20:20" ht="14.25" customHeight="1">
      <c r="T634" s="3"/>
    </row>
    <row r="635" spans="20:20" ht="14.25" customHeight="1">
      <c r="T635" s="3"/>
    </row>
    <row r="636" spans="20:20" ht="14.25" customHeight="1">
      <c r="T636" s="3"/>
    </row>
    <row r="637" spans="20:20" ht="14.25" customHeight="1">
      <c r="T637" s="3"/>
    </row>
    <row r="638" spans="20:20" ht="14.25" customHeight="1">
      <c r="T638" s="3"/>
    </row>
    <row r="639" spans="20:20" ht="14.25" customHeight="1">
      <c r="T639" s="3"/>
    </row>
    <row r="640" spans="20:20" ht="14.25" customHeight="1">
      <c r="T640" s="3"/>
    </row>
    <row r="641" spans="20:20" ht="14.25" customHeight="1">
      <c r="T641" s="3"/>
    </row>
    <row r="642" spans="20:20" ht="14.25" customHeight="1">
      <c r="T642" s="3"/>
    </row>
    <row r="643" spans="20:20" ht="14.25" customHeight="1">
      <c r="T643" s="3"/>
    </row>
    <row r="644" spans="20:20" ht="14.25" customHeight="1">
      <c r="T644" s="3"/>
    </row>
    <row r="645" spans="20:20" ht="14.25" customHeight="1">
      <c r="T645" s="3"/>
    </row>
    <row r="646" spans="20:20" ht="14.25" customHeight="1">
      <c r="T646" s="3"/>
    </row>
    <row r="647" spans="20:20" ht="14.25" customHeight="1">
      <c r="T647" s="3"/>
    </row>
    <row r="648" spans="20:20" ht="14.25" customHeight="1">
      <c r="T648" s="3"/>
    </row>
    <row r="649" spans="20:20" ht="14.25" customHeight="1">
      <c r="T649" s="3"/>
    </row>
    <row r="650" spans="20:20" ht="14.25" customHeight="1">
      <c r="T650" s="3"/>
    </row>
    <row r="651" spans="20:20" ht="14.25" customHeight="1">
      <c r="T651" s="3"/>
    </row>
    <row r="652" spans="20:20" ht="14.25" customHeight="1">
      <c r="T652" s="3"/>
    </row>
    <row r="653" spans="20:20" ht="14.25" customHeight="1">
      <c r="T653" s="3"/>
    </row>
    <row r="654" spans="20:20" ht="14.25" customHeight="1">
      <c r="T654" s="3"/>
    </row>
    <row r="655" spans="20:20" ht="14.25" customHeight="1">
      <c r="T655" s="3"/>
    </row>
    <row r="656" spans="20:20" ht="14.25" customHeight="1">
      <c r="T656" s="3"/>
    </row>
    <row r="657" spans="20:20" ht="14.25" customHeight="1">
      <c r="T657" s="3"/>
    </row>
    <row r="658" spans="20:20" ht="14.25" customHeight="1">
      <c r="T658" s="3"/>
    </row>
    <row r="659" spans="20:20" ht="14.25" customHeight="1">
      <c r="T659" s="3"/>
    </row>
    <row r="660" spans="20:20" ht="14.25" customHeight="1">
      <c r="T660" s="3"/>
    </row>
    <row r="661" spans="20:20" ht="14.25" customHeight="1">
      <c r="T661" s="3"/>
    </row>
    <row r="662" spans="20:20" ht="14.25" customHeight="1">
      <c r="T662" s="3"/>
    </row>
    <row r="663" spans="20:20" ht="14.25" customHeight="1">
      <c r="T663" s="3"/>
    </row>
    <row r="664" spans="20:20" ht="14.25" customHeight="1">
      <c r="T664" s="3"/>
    </row>
    <row r="665" spans="20:20" ht="14.25" customHeight="1">
      <c r="T665" s="3"/>
    </row>
    <row r="666" spans="20:20" ht="14.25" customHeight="1">
      <c r="T666" s="3"/>
    </row>
    <row r="667" spans="20:20" ht="14.25" customHeight="1">
      <c r="T667" s="3"/>
    </row>
    <row r="668" spans="20:20" ht="14.25" customHeight="1">
      <c r="T668" s="3"/>
    </row>
    <row r="669" spans="20:20" ht="14.25" customHeight="1">
      <c r="T669" s="3"/>
    </row>
    <row r="670" spans="20:20" ht="14.25" customHeight="1">
      <c r="T670" s="3"/>
    </row>
    <row r="671" spans="20:20" ht="14.25" customHeight="1">
      <c r="T671" s="3"/>
    </row>
    <row r="672" spans="20:20" ht="14.25" customHeight="1">
      <c r="T672" s="3"/>
    </row>
    <row r="673" spans="20:20" ht="14.25" customHeight="1">
      <c r="T673" s="3"/>
    </row>
    <row r="674" spans="20:20" ht="14.25" customHeight="1">
      <c r="T674" s="3"/>
    </row>
    <row r="675" spans="20:20" ht="14.25" customHeight="1">
      <c r="T675" s="3"/>
    </row>
    <row r="676" spans="20:20" ht="14.25" customHeight="1">
      <c r="T676" s="3"/>
    </row>
    <row r="677" spans="20:20" ht="14.25" customHeight="1">
      <c r="T677" s="3"/>
    </row>
    <row r="678" spans="20:20" ht="14.25" customHeight="1">
      <c r="T678" s="3"/>
    </row>
    <row r="679" spans="20:20" ht="14.25" customHeight="1">
      <c r="T679" s="3"/>
    </row>
    <row r="680" spans="20:20" ht="14.25" customHeight="1">
      <c r="T680" s="3"/>
    </row>
    <row r="681" spans="20:20" ht="14.25" customHeight="1">
      <c r="T681" s="3"/>
    </row>
    <row r="682" spans="20:20" ht="14.25" customHeight="1">
      <c r="T682" s="3"/>
    </row>
    <row r="683" spans="20:20" ht="14.25" customHeight="1">
      <c r="T683" s="3"/>
    </row>
    <row r="684" spans="20:20" ht="14.25" customHeight="1">
      <c r="T684" s="3"/>
    </row>
    <row r="685" spans="20:20" ht="14.25" customHeight="1">
      <c r="T685" s="3"/>
    </row>
    <row r="686" spans="20:20" ht="14.25" customHeight="1">
      <c r="T686" s="3"/>
    </row>
    <row r="687" spans="20:20" ht="14.25" customHeight="1">
      <c r="T687" s="3"/>
    </row>
    <row r="688" spans="20:20" ht="14.25" customHeight="1">
      <c r="T688" s="3"/>
    </row>
    <row r="689" spans="20:20" ht="14.25" customHeight="1">
      <c r="T689" s="3"/>
    </row>
    <row r="690" spans="20:20" ht="14.25" customHeight="1">
      <c r="T690" s="3"/>
    </row>
    <row r="691" spans="20:20" ht="14.25" customHeight="1">
      <c r="T691" s="3"/>
    </row>
    <row r="692" spans="20:20" ht="14.25" customHeight="1">
      <c r="T692" s="3"/>
    </row>
    <row r="693" spans="20:20" ht="14.25" customHeight="1">
      <c r="T693" s="3"/>
    </row>
    <row r="694" spans="20:20" ht="14.25" customHeight="1">
      <c r="T694" s="3"/>
    </row>
    <row r="695" spans="20:20" ht="14.25" customHeight="1">
      <c r="T695" s="3"/>
    </row>
    <row r="696" spans="20:20" ht="14.25" customHeight="1">
      <c r="T696" s="3"/>
    </row>
    <row r="697" spans="20:20" ht="14.25" customHeight="1">
      <c r="T697" s="3"/>
    </row>
    <row r="698" spans="20:20" ht="14.25" customHeight="1">
      <c r="T698" s="3"/>
    </row>
    <row r="699" spans="20:20" ht="14.25" customHeight="1">
      <c r="T699" s="3"/>
    </row>
    <row r="700" spans="20:20" ht="14.25" customHeight="1">
      <c r="T700" s="3"/>
    </row>
    <row r="701" spans="20:20" ht="14.25" customHeight="1">
      <c r="T701" s="3"/>
    </row>
    <row r="702" spans="20:20" ht="14.25" customHeight="1">
      <c r="T702" s="3"/>
    </row>
    <row r="703" spans="20:20" ht="14.25" customHeight="1">
      <c r="T703" s="3"/>
    </row>
    <row r="704" spans="20:20" ht="14.25" customHeight="1">
      <c r="T704" s="3"/>
    </row>
    <row r="705" spans="20:20" ht="14.25" customHeight="1">
      <c r="T705" s="3"/>
    </row>
    <row r="706" spans="20:20" ht="14.25" customHeight="1">
      <c r="T706" s="3"/>
    </row>
    <row r="707" spans="20:20" ht="14.25" customHeight="1">
      <c r="T707" s="3"/>
    </row>
    <row r="708" spans="20:20" ht="14.25" customHeight="1">
      <c r="T708" s="3"/>
    </row>
    <row r="709" spans="20:20" ht="14.25" customHeight="1">
      <c r="T709" s="3"/>
    </row>
    <row r="710" spans="20:20" ht="14.25" customHeight="1">
      <c r="T710" s="3"/>
    </row>
    <row r="711" spans="20:20" ht="14.25" customHeight="1">
      <c r="T711" s="3"/>
    </row>
    <row r="712" spans="20:20" ht="14.25" customHeight="1">
      <c r="T712" s="3"/>
    </row>
    <row r="713" spans="20:20" ht="14.25" customHeight="1">
      <c r="T713" s="3"/>
    </row>
    <row r="714" spans="20:20" ht="14.25" customHeight="1">
      <c r="T714" s="3"/>
    </row>
    <row r="715" spans="20:20" ht="14.25" customHeight="1">
      <c r="T715" s="3"/>
    </row>
    <row r="716" spans="20:20" ht="14.25" customHeight="1">
      <c r="T716" s="3"/>
    </row>
    <row r="717" spans="20:20" ht="14.25" customHeight="1">
      <c r="T717" s="3"/>
    </row>
    <row r="718" spans="20:20" ht="14.25" customHeight="1">
      <c r="T718" s="3"/>
    </row>
    <row r="719" spans="20:20" ht="14.25" customHeight="1">
      <c r="T719" s="3"/>
    </row>
    <row r="720" spans="20:20" ht="14.25" customHeight="1">
      <c r="T720" s="3"/>
    </row>
    <row r="721" spans="20:20" ht="14.25" customHeight="1">
      <c r="T721" s="3"/>
    </row>
    <row r="722" spans="20:20" ht="14.25" customHeight="1">
      <c r="T722" s="3"/>
    </row>
    <row r="723" spans="20:20" ht="14.25" customHeight="1">
      <c r="T723" s="3"/>
    </row>
    <row r="724" spans="20:20" ht="14.25" customHeight="1">
      <c r="T724" s="3"/>
    </row>
    <row r="725" spans="20:20" ht="14.25" customHeight="1">
      <c r="T725" s="3"/>
    </row>
    <row r="726" spans="20:20" ht="14.25" customHeight="1">
      <c r="T726" s="3"/>
    </row>
    <row r="727" spans="20:20" ht="14.25" customHeight="1">
      <c r="T727" s="3"/>
    </row>
    <row r="728" spans="20:20" ht="14.25" customHeight="1">
      <c r="T728" s="3"/>
    </row>
    <row r="729" spans="20:20" ht="14.25" customHeight="1">
      <c r="T729" s="3"/>
    </row>
    <row r="730" spans="20:20" ht="14.25" customHeight="1">
      <c r="T730" s="3"/>
    </row>
    <row r="731" spans="20:20" ht="14.25" customHeight="1">
      <c r="T731" s="3"/>
    </row>
    <row r="732" spans="20:20" ht="14.25" customHeight="1">
      <c r="T732" s="3"/>
    </row>
    <row r="733" spans="20:20" ht="14.25" customHeight="1">
      <c r="T733" s="3"/>
    </row>
    <row r="734" spans="20:20" ht="14.25" customHeight="1">
      <c r="T734" s="3"/>
    </row>
    <row r="735" spans="20:20" ht="14.25" customHeight="1">
      <c r="T735" s="3"/>
    </row>
    <row r="736" spans="20:20" ht="14.25" customHeight="1">
      <c r="T736" s="3"/>
    </row>
    <row r="737" spans="20:20" ht="14.25" customHeight="1">
      <c r="T737" s="3"/>
    </row>
    <row r="738" spans="20:20" ht="14.25" customHeight="1">
      <c r="T738" s="3"/>
    </row>
    <row r="739" spans="20:20" ht="14.25" customHeight="1">
      <c r="T739" s="3"/>
    </row>
    <row r="740" spans="20:20" ht="14.25" customHeight="1">
      <c r="T740" s="3"/>
    </row>
    <row r="741" spans="20:20" ht="14.25" customHeight="1">
      <c r="T741" s="3"/>
    </row>
    <row r="742" spans="20:20" ht="14.25" customHeight="1">
      <c r="T742" s="3"/>
    </row>
    <row r="743" spans="20:20" ht="14.25" customHeight="1">
      <c r="T743" s="3"/>
    </row>
    <row r="744" spans="20:20" ht="14.25" customHeight="1">
      <c r="T744" s="3"/>
    </row>
    <row r="745" spans="20:20" ht="14.25" customHeight="1">
      <c r="T745" s="3"/>
    </row>
    <row r="746" spans="20:20" ht="14.25" customHeight="1">
      <c r="T746" s="3"/>
    </row>
    <row r="747" spans="20:20" ht="14.25" customHeight="1">
      <c r="T747" s="3"/>
    </row>
    <row r="748" spans="20:20" ht="14.25" customHeight="1">
      <c r="T748" s="3"/>
    </row>
    <row r="749" spans="20:20" ht="14.25" customHeight="1">
      <c r="T749" s="3"/>
    </row>
    <row r="750" spans="20:20" ht="14.25" customHeight="1">
      <c r="T750" s="3"/>
    </row>
    <row r="751" spans="20:20" ht="14.25" customHeight="1">
      <c r="T751" s="3"/>
    </row>
    <row r="752" spans="20:20" ht="14.25" customHeight="1">
      <c r="T752" s="3"/>
    </row>
    <row r="753" spans="20:20" ht="14.25" customHeight="1">
      <c r="T753" s="3"/>
    </row>
    <row r="754" spans="20:20" ht="14.25" customHeight="1">
      <c r="T754" s="3"/>
    </row>
    <row r="755" spans="20:20" ht="14.25" customHeight="1">
      <c r="T755" s="3"/>
    </row>
    <row r="756" spans="20:20" ht="14.25" customHeight="1">
      <c r="T756" s="3"/>
    </row>
    <row r="757" spans="20:20" ht="14.25" customHeight="1">
      <c r="T757" s="3"/>
    </row>
    <row r="758" spans="20:20" ht="14.25" customHeight="1">
      <c r="T758" s="3"/>
    </row>
    <row r="759" spans="20:20" ht="14.25" customHeight="1">
      <c r="T759" s="3"/>
    </row>
    <row r="760" spans="20:20" ht="14.25" customHeight="1">
      <c r="T760" s="3"/>
    </row>
    <row r="761" spans="20:20" ht="14.25" customHeight="1">
      <c r="T761" s="3"/>
    </row>
    <row r="762" spans="20:20" ht="14.25" customHeight="1">
      <c r="T762" s="3"/>
    </row>
    <row r="763" spans="20:20" ht="14.25" customHeight="1">
      <c r="T763" s="3"/>
    </row>
    <row r="764" spans="20:20" ht="14.25" customHeight="1">
      <c r="T764" s="3"/>
    </row>
    <row r="765" spans="20:20" ht="14.25" customHeight="1">
      <c r="T765" s="3"/>
    </row>
    <row r="766" spans="20:20" ht="14.25" customHeight="1">
      <c r="T766" s="3"/>
    </row>
    <row r="767" spans="20:20" ht="14.25" customHeight="1">
      <c r="T767" s="3"/>
    </row>
    <row r="768" spans="20:20" ht="14.25" customHeight="1">
      <c r="T768" s="3"/>
    </row>
    <row r="769" spans="20:20" ht="14.25" customHeight="1">
      <c r="T769" s="3"/>
    </row>
    <row r="770" spans="20:20" ht="14.25" customHeight="1">
      <c r="T770" s="3"/>
    </row>
    <row r="771" spans="20:20" ht="14.25" customHeight="1">
      <c r="T771" s="3"/>
    </row>
    <row r="772" spans="20:20" ht="14.25" customHeight="1">
      <c r="T772" s="3"/>
    </row>
    <row r="773" spans="20:20" ht="14.25" customHeight="1">
      <c r="T773" s="3"/>
    </row>
    <row r="774" spans="20:20" ht="14.25" customHeight="1">
      <c r="T774" s="3"/>
    </row>
    <row r="775" spans="20:20" ht="14.25" customHeight="1">
      <c r="T775" s="3"/>
    </row>
    <row r="776" spans="20:20" ht="14.25" customHeight="1">
      <c r="T776" s="3"/>
    </row>
    <row r="777" spans="20:20" ht="14.25" customHeight="1">
      <c r="T777" s="3"/>
    </row>
    <row r="778" spans="20:20" ht="14.25" customHeight="1">
      <c r="T778" s="3"/>
    </row>
    <row r="779" spans="20:20" ht="14.25" customHeight="1">
      <c r="T779" s="3"/>
    </row>
    <row r="780" spans="20:20" ht="14.25" customHeight="1">
      <c r="T780" s="3"/>
    </row>
    <row r="781" spans="20:20" ht="14.25" customHeight="1">
      <c r="T781" s="3"/>
    </row>
    <row r="782" spans="20:20" ht="14.25" customHeight="1">
      <c r="T782" s="3"/>
    </row>
    <row r="783" spans="20:20" ht="14.25" customHeight="1">
      <c r="T783" s="3"/>
    </row>
    <row r="784" spans="20:20" ht="14.25" customHeight="1">
      <c r="T784" s="3"/>
    </row>
    <row r="785" spans="20:20" ht="14.25" customHeight="1">
      <c r="T785" s="3"/>
    </row>
    <row r="786" spans="20:20" ht="14.25" customHeight="1">
      <c r="T786" s="3"/>
    </row>
    <row r="787" spans="20:20" ht="14.25" customHeight="1">
      <c r="T787" s="3"/>
    </row>
    <row r="788" spans="20:20" ht="14.25" customHeight="1">
      <c r="T788" s="3"/>
    </row>
    <row r="789" spans="20:20" ht="14.25" customHeight="1">
      <c r="T789" s="3"/>
    </row>
    <row r="790" spans="20:20" ht="14.25" customHeight="1">
      <c r="T790" s="3"/>
    </row>
    <row r="791" spans="20:20" ht="14.25" customHeight="1">
      <c r="T791" s="3"/>
    </row>
    <row r="792" spans="20:20" ht="14.25" customHeight="1">
      <c r="T792" s="3"/>
    </row>
    <row r="793" spans="20:20" ht="14.25" customHeight="1">
      <c r="T793" s="3"/>
    </row>
    <row r="794" spans="20:20" ht="14.25" customHeight="1">
      <c r="T794" s="3"/>
    </row>
    <row r="795" spans="20:20" ht="14.25" customHeight="1">
      <c r="T795" s="3"/>
    </row>
    <row r="796" spans="20:20" ht="14.25" customHeight="1">
      <c r="T796" s="3"/>
    </row>
    <row r="797" spans="20:20" ht="14.25" customHeight="1">
      <c r="T797" s="3"/>
    </row>
    <row r="798" spans="20:20" ht="14.25" customHeight="1">
      <c r="T798" s="3"/>
    </row>
    <row r="799" spans="20:20" ht="14.25" customHeight="1">
      <c r="T799" s="3"/>
    </row>
    <row r="800" spans="20:20" ht="14.25" customHeight="1">
      <c r="T800" s="3"/>
    </row>
    <row r="801" spans="20:20" ht="14.25" customHeight="1">
      <c r="T801" s="3"/>
    </row>
    <row r="802" spans="20:20" ht="14.25" customHeight="1">
      <c r="T802" s="3"/>
    </row>
    <row r="803" spans="20:20" ht="14.25" customHeight="1">
      <c r="T803" s="3"/>
    </row>
    <row r="804" spans="20:20" ht="14.25" customHeight="1">
      <c r="T804" s="3"/>
    </row>
    <row r="805" spans="20:20" ht="14.25" customHeight="1">
      <c r="T805" s="3"/>
    </row>
    <row r="806" spans="20:20" ht="14.25" customHeight="1">
      <c r="T806" s="3"/>
    </row>
    <row r="807" spans="20:20" ht="14.25" customHeight="1">
      <c r="T807" s="3"/>
    </row>
    <row r="808" spans="20:20" ht="14.25" customHeight="1">
      <c r="T808" s="3"/>
    </row>
    <row r="809" spans="20:20" ht="14.25" customHeight="1">
      <c r="T809" s="3"/>
    </row>
    <row r="810" spans="20:20" ht="14.25" customHeight="1">
      <c r="T810" s="3"/>
    </row>
    <row r="811" spans="20:20" ht="14.25" customHeight="1">
      <c r="T811" s="3"/>
    </row>
    <row r="812" spans="20:20" ht="14.25" customHeight="1">
      <c r="T812" s="3"/>
    </row>
    <row r="813" spans="20:20" ht="14.25" customHeight="1">
      <c r="T813" s="3"/>
    </row>
    <row r="814" spans="20:20" ht="14.25" customHeight="1">
      <c r="T814" s="3"/>
    </row>
    <row r="815" spans="20:20" ht="14.25" customHeight="1">
      <c r="T815" s="3"/>
    </row>
    <row r="816" spans="20:20" ht="14.25" customHeight="1">
      <c r="T816" s="3"/>
    </row>
    <row r="817" spans="20:20" ht="14.25" customHeight="1">
      <c r="T817" s="3"/>
    </row>
    <row r="818" spans="20:20" ht="14.25" customHeight="1">
      <c r="T818" s="3"/>
    </row>
    <row r="819" spans="20:20" ht="14.25" customHeight="1">
      <c r="T819" s="3"/>
    </row>
    <row r="820" spans="20:20" ht="14.25" customHeight="1">
      <c r="T820" s="3"/>
    </row>
    <row r="821" spans="20:20" ht="14.25" customHeight="1">
      <c r="T821" s="3"/>
    </row>
    <row r="822" spans="20:20" ht="14.25" customHeight="1">
      <c r="T822" s="3"/>
    </row>
    <row r="823" spans="20:20" ht="14.25" customHeight="1">
      <c r="T823" s="3"/>
    </row>
    <row r="824" spans="20:20" ht="14.25" customHeight="1">
      <c r="T824" s="3"/>
    </row>
    <row r="825" spans="20:20" ht="14.25" customHeight="1">
      <c r="T825" s="3"/>
    </row>
    <row r="826" spans="20:20" ht="14.25" customHeight="1">
      <c r="T826" s="3"/>
    </row>
    <row r="827" spans="20:20" ht="14.25" customHeight="1">
      <c r="T827" s="3"/>
    </row>
    <row r="828" spans="20:20" ht="14.25" customHeight="1">
      <c r="T828" s="3"/>
    </row>
    <row r="829" spans="20:20" ht="14.25" customHeight="1">
      <c r="T829" s="3"/>
    </row>
    <row r="830" spans="20:20" ht="14.25" customHeight="1">
      <c r="T830" s="3"/>
    </row>
    <row r="831" spans="20:20" ht="14.25" customHeight="1">
      <c r="T831" s="3"/>
    </row>
    <row r="832" spans="20:20" ht="14.25" customHeight="1">
      <c r="T832" s="3"/>
    </row>
    <row r="833" spans="20:20" ht="14.25" customHeight="1">
      <c r="T833" s="3"/>
    </row>
    <row r="834" spans="20:20" ht="14.25" customHeight="1">
      <c r="T834" s="3"/>
    </row>
    <row r="835" spans="20:20" ht="14.25" customHeight="1">
      <c r="T835" s="3"/>
    </row>
    <row r="836" spans="20:20" ht="14.25" customHeight="1">
      <c r="T836" s="3"/>
    </row>
    <row r="837" spans="20:20" ht="14.25" customHeight="1">
      <c r="T837" s="3"/>
    </row>
    <row r="838" spans="20:20" ht="14.25" customHeight="1">
      <c r="T838" s="3"/>
    </row>
    <row r="839" spans="20:20" ht="14.25" customHeight="1">
      <c r="T839" s="3"/>
    </row>
    <row r="840" spans="20:20" ht="14.25" customHeight="1">
      <c r="T840" s="3"/>
    </row>
    <row r="841" spans="20:20" ht="14.25" customHeight="1">
      <c r="T841" s="3"/>
    </row>
    <row r="842" spans="20:20" ht="14.25" customHeight="1">
      <c r="T842" s="3"/>
    </row>
    <row r="843" spans="20:20" ht="14.25" customHeight="1">
      <c r="T843" s="3"/>
    </row>
    <row r="844" spans="20:20" ht="14.25" customHeight="1">
      <c r="T844" s="3"/>
    </row>
    <row r="845" spans="20:20" ht="14.25" customHeight="1">
      <c r="T845" s="3"/>
    </row>
    <row r="846" spans="20:20" ht="14.25" customHeight="1">
      <c r="T846" s="3"/>
    </row>
    <row r="847" spans="20:20" ht="14.25" customHeight="1">
      <c r="T847" s="3"/>
    </row>
    <row r="848" spans="20:20" ht="14.25" customHeight="1">
      <c r="T848" s="3"/>
    </row>
    <row r="849" spans="20:20" ht="14.25" customHeight="1">
      <c r="T849" s="3"/>
    </row>
    <row r="850" spans="20:20" ht="14.25" customHeight="1">
      <c r="T850" s="3"/>
    </row>
    <row r="851" spans="20:20" ht="14.25" customHeight="1">
      <c r="T851" s="3"/>
    </row>
    <row r="852" spans="20:20" ht="14.25" customHeight="1">
      <c r="T852" s="3"/>
    </row>
    <row r="853" spans="20:20" ht="14.25" customHeight="1">
      <c r="T853" s="3"/>
    </row>
    <row r="854" spans="20:20" ht="14.25" customHeight="1">
      <c r="T854" s="3"/>
    </row>
    <row r="855" spans="20:20" ht="14.25" customHeight="1">
      <c r="T855" s="3"/>
    </row>
    <row r="856" spans="20:20" ht="14.25" customHeight="1">
      <c r="T856" s="3"/>
    </row>
    <row r="857" spans="20:20" ht="14.25" customHeight="1">
      <c r="T857" s="3"/>
    </row>
    <row r="858" spans="20:20" ht="14.25" customHeight="1">
      <c r="T858" s="3"/>
    </row>
    <row r="859" spans="20:20" ht="14.25" customHeight="1">
      <c r="T859" s="3"/>
    </row>
    <row r="860" spans="20:20" ht="14.25" customHeight="1">
      <c r="T860" s="3"/>
    </row>
    <row r="861" spans="20:20" ht="14.25" customHeight="1">
      <c r="T861" s="3"/>
    </row>
    <row r="862" spans="20:20" ht="14.25" customHeight="1">
      <c r="T862" s="3"/>
    </row>
    <row r="863" spans="20:20" ht="14.25" customHeight="1">
      <c r="T863" s="3"/>
    </row>
    <row r="864" spans="20:20" ht="14.25" customHeight="1">
      <c r="T864" s="3"/>
    </row>
    <row r="865" spans="20:20" ht="14.25" customHeight="1">
      <c r="T865" s="3"/>
    </row>
    <row r="866" spans="20:20" ht="14.25" customHeight="1">
      <c r="T866" s="3"/>
    </row>
    <row r="867" spans="20:20" ht="14.25" customHeight="1">
      <c r="T867" s="3"/>
    </row>
    <row r="868" spans="20:20" ht="14.25" customHeight="1">
      <c r="T868" s="3"/>
    </row>
    <row r="869" spans="20:20" ht="14.25" customHeight="1">
      <c r="T869" s="3"/>
    </row>
    <row r="870" spans="20:20" ht="14.25" customHeight="1">
      <c r="T870" s="3"/>
    </row>
    <row r="871" spans="20:20" ht="14.25" customHeight="1">
      <c r="T871" s="3"/>
    </row>
    <row r="872" spans="20:20" ht="14.25" customHeight="1">
      <c r="T872" s="3"/>
    </row>
    <row r="873" spans="20:20" ht="14.25" customHeight="1">
      <c r="T873" s="3"/>
    </row>
    <row r="874" spans="20:20" ht="14.25" customHeight="1">
      <c r="T874" s="3"/>
    </row>
    <row r="875" spans="20:20" ht="14.25" customHeight="1">
      <c r="T875" s="3"/>
    </row>
    <row r="876" spans="20:20" ht="14.25" customHeight="1">
      <c r="T876" s="3"/>
    </row>
    <row r="877" spans="20:20" ht="14.25" customHeight="1">
      <c r="T877" s="3"/>
    </row>
    <row r="878" spans="20:20" ht="14.25" customHeight="1">
      <c r="T878" s="3"/>
    </row>
    <row r="879" spans="20:20" ht="14.25" customHeight="1">
      <c r="T879" s="3"/>
    </row>
    <row r="880" spans="20:20" ht="14.25" customHeight="1">
      <c r="T880" s="3"/>
    </row>
    <row r="881" spans="20:20" ht="14.25" customHeight="1">
      <c r="T881" s="3"/>
    </row>
    <row r="882" spans="20:20" ht="14.25" customHeight="1">
      <c r="T882" s="3"/>
    </row>
    <row r="883" spans="20:20" ht="14.25" customHeight="1">
      <c r="T883" s="3"/>
    </row>
    <row r="884" spans="20:20" ht="14.25" customHeight="1">
      <c r="T884" s="3"/>
    </row>
    <row r="885" spans="20:20" ht="14.25" customHeight="1">
      <c r="T885" s="3"/>
    </row>
    <row r="886" spans="20:20" ht="14.25" customHeight="1">
      <c r="T886" s="3"/>
    </row>
    <row r="887" spans="20:20" ht="14.25" customHeight="1">
      <c r="T887" s="3"/>
    </row>
    <row r="888" spans="20:20" ht="14.25" customHeight="1">
      <c r="T888" s="3"/>
    </row>
    <row r="889" spans="20:20" ht="14.25" customHeight="1">
      <c r="T889" s="3"/>
    </row>
    <row r="890" spans="20:20" ht="14.25" customHeight="1">
      <c r="T890" s="3"/>
    </row>
    <row r="891" spans="20:20" ht="14.25" customHeight="1">
      <c r="T891" s="3"/>
    </row>
    <row r="892" spans="20:20" ht="14.25" customHeight="1">
      <c r="T892" s="3"/>
    </row>
    <row r="893" spans="20:20" ht="14.25" customHeight="1">
      <c r="T893" s="3"/>
    </row>
    <row r="894" spans="20:20" ht="14.25" customHeight="1">
      <c r="T894" s="3"/>
    </row>
    <row r="895" spans="20:20" ht="14.25" customHeight="1">
      <c r="T895" s="3"/>
    </row>
    <row r="896" spans="20:20" ht="14.25" customHeight="1">
      <c r="T896" s="3"/>
    </row>
    <row r="897" spans="20:20" ht="14.25" customHeight="1">
      <c r="T897" s="3"/>
    </row>
    <row r="898" spans="20:20" ht="14.25" customHeight="1">
      <c r="T898" s="3"/>
    </row>
    <row r="899" spans="20:20" ht="14.25" customHeight="1">
      <c r="T899" s="3"/>
    </row>
    <row r="900" spans="20:20" ht="14.25" customHeight="1">
      <c r="T900" s="3"/>
    </row>
    <row r="901" spans="20:20" ht="14.25" customHeight="1">
      <c r="T901" s="3"/>
    </row>
    <row r="902" spans="20:20" ht="14.25" customHeight="1">
      <c r="T902" s="3"/>
    </row>
    <row r="903" spans="20:20" ht="14.25" customHeight="1">
      <c r="T903" s="3"/>
    </row>
    <row r="904" spans="20:20" ht="14.25" customHeight="1">
      <c r="T904" s="3"/>
    </row>
    <row r="905" spans="20:20" ht="14.25" customHeight="1">
      <c r="T905" s="3"/>
    </row>
    <row r="906" spans="20:20" ht="14.25" customHeight="1">
      <c r="T906" s="3"/>
    </row>
    <row r="907" spans="20:20" ht="14.25" customHeight="1">
      <c r="T907" s="3"/>
    </row>
    <row r="908" spans="20:20" ht="14.25" customHeight="1">
      <c r="T908" s="3"/>
    </row>
    <row r="909" spans="20:20" ht="14.25" customHeight="1">
      <c r="T909" s="3"/>
    </row>
    <row r="910" spans="20:20" ht="14.25" customHeight="1">
      <c r="T910" s="3"/>
    </row>
    <row r="911" spans="20:20" ht="14.25" customHeight="1">
      <c r="T911" s="3"/>
    </row>
    <row r="912" spans="20:20" ht="14.25" customHeight="1">
      <c r="T912" s="3"/>
    </row>
    <row r="913" spans="20:20" ht="14.25" customHeight="1">
      <c r="T913" s="3"/>
    </row>
    <row r="914" spans="20:20" ht="14.25" customHeight="1">
      <c r="T914" s="3"/>
    </row>
    <row r="915" spans="20:20" ht="14.25" customHeight="1">
      <c r="T915" s="3"/>
    </row>
    <row r="916" spans="20:20" ht="14.25" customHeight="1">
      <c r="T916" s="3"/>
    </row>
    <row r="917" spans="20:20" ht="14.25" customHeight="1">
      <c r="T917" s="3"/>
    </row>
    <row r="918" spans="20:20" ht="14.25" customHeight="1">
      <c r="T918" s="3"/>
    </row>
    <row r="919" spans="20:20" ht="14.25" customHeight="1">
      <c r="T919" s="3"/>
    </row>
    <row r="920" spans="20:20" ht="14.25" customHeight="1">
      <c r="T920" s="3"/>
    </row>
    <row r="921" spans="20:20" ht="14.25" customHeight="1">
      <c r="T921" s="3"/>
    </row>
    <row r="922" spans="20:20" ht="14.25" customHeight="1">
      <c r="T922" s="3"/>
    </row>
    <row r="923" spans="20:20" ht="14.25" customHeight="1">
      <c r="T923" s="3"/>
    </row>
    <row r="924" spans="20:20" ht="14.25" customHeight="1">
      <c r="T924" s="3"/>
    </row>
    <row r="925" spans="20:20" ht="14.25" customHeight="1">
      <c r="T925" s="3"/>
    </row>
    <row r="926" spans="20:20" ht="14.25" customHeight="1">
      <c r="T926" s="3"/>
    </row>
    <row r="927" spans="20:20" ht="14.25" customHeight="1">
      <c r="T927" s="3"/>
    </row>
    <row r="928" spans="20:20" ht="14.25" customHeight="1">
      <c r="T928" s="3"/>
    </row>
    <row r="929" spans="20:20" ht="14.25" customHeight="1">
      <c r="T929" s="3"/>
    </row>
    <row r="930" spans="20:20" ht="14.25" customHeight="1">
      <c r="T930" s="3"/>
    </row>
    <row r="931" spans="20:20" ht="14.25" customHeight="1">
      <c r="T931" s="3"/>
    </row>
    <row r="932" spans="20:20" ht="14.25" customHeight="1">
      <c r="T932" s="3"/>
    </row>
    <row r="933" spans="20:20" ht="14.25" customHeight="1">
      <c r="T933" s="3"/>
    </row>
    <row r="934" spans="20:20" ht="14.25" customHeight="1">
      <c r="T934" s="3"/>
    </row>
    <row r="935" spans="20:20" ht="14.25" customHeight="1">
      <c r="T935" s="3"/>
    </row>
    <row r="936" spans="20:20" ht="14.25" customHeight="1">
      <c r="T936" s="3"/>
    </row>
    <row r="937" spans="20:20" ht="14.25" customHeight="1">
      <c r="T937" s="3"/>
    </row>
    <row r="938" spans="20:20" ht="14.25" customHeight="1">
      <c r="T938" s="3"/>
    </row>
    <row r="939" spans="20:20" ht="14.25" customHeight="1">
      <c r="T939" s="3"/>
    </row>
    <row r="940" spans="20:20" ht="14.25" customHeight="1">
      <c r="T940" s="3"/>
    </row>
    <row r="941" spans="20:20" ht="14.25" customHeight="1">
      <c r="T941" s="3"/>
    </row>
    <row r="942" spans="20:20" ht="14.25" customHeight="1">
      <c r="T942" s="3"/>
    </row>
    <row r="943" spans="20:20" ht="14.25" customHeight="1">
      <c r="T943" s="3"/>
    </row>
    <row r="944" spans="20:20" ht="14.25" customHeight="1">
      <c r="T944" s="3"/>
    </row>
    <row r="945" spans="20:20" ht="14.25" customHeight="1">
      <c r="T945" s="3"/>
    </row>
    <row r="946" spans="20:20" ht="14.25" customHeight="1">
      <c r="T946" s="3"/>
    </row>
    <row r="947" spans="20:20" ht="14.25" customHeight="1">
      <c r="T947" s="3"/>
    </row>
    <row r="948" spans="20:20" ht="14.25" customHeight="1">
      <c r="T948" s="3"/>
    </row>
    <row r="949" spans="20:20" ht="14.25" customHeight="1">
      <c r="T949" s="3"/>
    </row>
    <row r="950" spans="20:20" ht="14.25" customHeight="1">
      <c r="T950" s="3"/>
    </row>
    <row r="951" spans="20:20" ht="14.25" customHeight="1">
      <c r="T951" s="3"/>
    </row>
    <row r="952" spans="20:20" ht="14.25" customHeight="1">
      <c r="T952" s="3"/>
    </row>
    <row r="953" spans="20:20" ht="14.25" customHeight="1">
      <c r="T953" s="3"/>
    </row>
    <row r="954" spans="20:20" ht="14.25" customHeight="1">
      <c r="T954" s="3"/>
    </row>
    <row r="955" spans="20:20" ht="14.25" customHeight="1">
      <c r="T955" s="3"/>
    </row>
    <row r="956" spans="20:20" ht="14.25" customHeight="1">
      <c r="T956" s="3"/>
    </row>
    <row r="957" spans="20:20" ht="14.25" customHeight="1">
      <c r="T957" s="3"/>
    </row>
    <row r="958" spans="20:20" ht="14.25" customHeight="1">
      <c r="T958" s="3"/>
    </row>
    <row r="959" spans="20:20" ht="14.25" customHeight="1">
      <c r="T959" s="3"/>
    </row>
    <row r="960" spans="20:20" ht="14.25" customHeight="1">
      <c r="T960" s="3"/>
    </row>
    <row r="961" spans="20:20" ht="14.25" customHeight="1">
      <c r="T961" s="3"/>
    </row>
    <row r="962" spans="20:20" ht="14.25" customHeight="1">
      <c r="T962" s="3"/>
    </row>
    <row r="963" spans="20:20" ht="14.25" customHeight="1">
      <c r="T963" s="3"/>
    </row>
    <row r="964" spans="20:20" ht="14.25" customHeight="1">
      <c r="T964" s="3"/>
    </row>
    <row r="965" spans="20:20" ht="14.25" customHeight="1">
      <c r="T965" s="3"/>
    </row>
    <row r="966" spans="20:20" ht="14.25" customHeight="1">
      <c r="T966" s="3"/>
    </row>
    <row r="967" spans="20:20" ht="14.25" customHeight="1">
      <c r="T967" s="3"/>
    </row>
    <row r="968" spans="20:20" ht="14.25" customHeight="1">
      <c r="T968" s="3"/>
    </row>
    <row r="969" spans="20:20" ht="14.25" customHeight="1">
      <c r="T969" s="3"/>
    </row>
    <row r="970" spans="20:20" ht="14.25" customHeight="1">
      <c r="T970" s="3"/>
    </row>
    <row r="971" spans="20:20" ht="14.25" customHeight="1">
      <c r="T971" s="3"/>
    </row>
    <row r="972" spans="20:20" ht="14.25" customHeight="1">
      <c r="T972" s="3"/>
    </row>
    <row r="973" spans="20:20" ht="14.25" customHeight="1">
      <c r="T973" s="3"/>
    </row>
    <row r="974" spans="20:20" ht="14.25" customHeight="1">
      <c r="T974" s="3"/>
    </row>
    <row r="975" spans="20:20" ht="14.25" customHeight="1">
      <c r="T975" s="3"/>
    </row>
    <row r="976" spans="20:20" ht="14.25" customHeight="1">
      <c r="T976" s="3"/>
    </row>
    <row r="977" spans="20:20" ht="14.25" customHeight="1">
      <c r="T977" s="3"/>
    </row>
    <row r="978" spans="20:20" ht="14.25" customHeight="1">
      <c r="T978" s="3"/>
    </row>
    <row r="979" spans="20:20" ht="14.25" customHeight="1">
      <c r="T979" s="3"/>
    </row>
    <row r="980" spans="20:20" ht="14.25" customHeight="1">
      <c r="T980" s="3"/>
    </row>
    <row r="981" spans="20:20" ht="14.25" customHeight="1">
      <c r="T981" s="3"/>
    </row>
    <row r="982" spans="20:20" ht="14.25" customHeight="1">
      <c r="T982" s="3"/>
    </row>
    <row r="983" spans="20:20" ht="14.25" customHeight="1">
      <c r="T983" s="3"/>
    </row>
    <row r="984" spans="20:20" ht="14.25" customHeight="1">
      <c r="T984" s="3"/>
    </row>
    <row r="985" spans="20:20" ht="14.25" customHeight="1">
      <c r="T985" s="3"/>
    </row>
    <row r="986" spans="20:20" ht="14.25" customHeight="1">
      <c r="T986" s="3"/>
    </row>
    <row r="987" spans="20:20" ht="14.25" customHeight="1">
      <c r="T987" s="3"/>
    </row>
    <row r="988" spans="20:20" ht="14.25" customHeight="1">
      <c r="T988" s="3"/>
    </row>
    <row r="989" spans="20:20" ht="14.25" customHeight="1">
      <c r="T989" s="3"/>
    </row>
    <row r="990" spans="20:20" ht="14.25" customHeight="1">
      <c r="T990" s="3"/>
    </row>
    <row r="991" spans="20:20" ht="14.25" customHeight="1">
      <c r="T991" s="3"/>
    </row>
    <row r="992" spans="20:20" ht="14.25" customHeight="1">
      <c r="T992" s="3"/>
    </row>
    <row r="993" spans="20:20" ht="14.25" customHeight="1">
      <c r="T993" s="3"/>
    </row>
    <row r="994" spans="20:20" ht="14.25" customHeight="1">
      <c r="T994" s="3"/>
    </row>
    <row r="995" spans="20:20" ht="14.25" customHeight="1">
      <c r="T995" s="3"/>
    </row>
    <row r="996" spans="20:20" ht="14.25" customHeight="1">
      <c r="T996" s="3"/>
    </row>
    <row r="997" spans="20:20" ht="14.25" customHeight="1">
      <c r="T997" s="3"/>
    </row>
    <row r="998" spans="20:20" ht="14.25" customHeight="1">
      <c r="T998" s="3"/>
    </row>
    <row r="999" spans="20:20" ht="14.25" customHeight="1">
      <c r="T999" s="3"/>
    </row>
    <row r="1000" spans="20:20" ht="14.25" customHeight="1">
      <c r="T1000" s="3"/>
    </row>
  </sheetData>
  <mergeCells count="5">
    <mergeCell ref="AA4:AC4"/>
    <mergeCell ref="AA5:AC5"/>
    <mergeCell ref="BC1:BF1"/>
    <mergeCell ref="BG1:BJ1"/>
    <mergeCell ref="BK1:BN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topLeftCell="A74" workbookViewId="0">
      <selection activeCell="A102" sqref="A102"/>
    </sheetView>
  </sheetViews>
  <sheetFormatPr defaultColWidth="12.59765625" defaultRowHeight="15" customHeight="1"/>
  <cols>
    <col min="1" max="1" width="8.8984375" customWidth="1"/>
    <col min="2" max="2" width="10.5" customWidth="1"/>
    <col min="3" max="5" width="7.59765625" customWidth="1"/>
    <col min="6" max="6" width="11.69921875" customWidth="1"/>
    <col min="7" max="7" width="17.19921875" customWidth="1"/>
    <col min="8" max="8" width="10.69921875" customWidth="1"/>
    <col min="9" max="9" width="6.3984375" customWidth="1"/>
    <col min="10" max="10" width="5" customWidth="1"/>
    <col min="11" max="11" width="6.09765625" customWidth="1"/>
    <col min="12" max="12" width="6.69921875" customWidth="1"/>
    <col min="13" max="13" width="12.09765625" customWidth="1"/>
    <col min="14" max="14" width="16" customWidth="1"/>
    <col min="15" max="15" width="11.19921875" customWidth="1"/>
    <col min="16" max="16" width="6.3984375" customWidth="1"/>
    <col min="17" max="17" width="5" customWidth="1"/>
    <col min="18" max="18" width="6.09765625" customWidth="1"/>
    <col min="19" max="19" width="6.3984375" customWidth="1"/>
    <col min="20" max="20" width="12.09765625" customWidth="1"/>
    <col min="21" max="21" width="16" customWidth="1"/>
    <col min="22" max="22" width="11.19921875" customWidth="1"/>
    <col min="23" max="23" width="10.19921875" customWidth="1"/>
    <col min="24" max="24" width="8.8984375" customWidth="1"/>
    <col min="25" max="25" width="8.19921875" bestFit="1" customWidth="1"/>
    <col min="26" max="27" width="8" customWidth="1"/>
    <col min="28" max="29" width="10.19921875" customWidth="1"/>
    <col min="30" max="30" width="8" customWidth="1"/>
  </cols>
  <sheetData>
    <row r="1" spans="1:27" ht="14.25" customHeight="1">
      <c r="B1" s="349" t="s">
        <v>5</v>
      </c>
      <c r="C1" s="350"/>
      <c r="D1" s="350"/>
      <c r="E1" s="350"/>
      <c r="F1" s="350"/>
      <c r="G1" s="350"/>
      <c r="H1" s="351"/>
      <c r="I1" s="352" t="s">
        <v>6</v>
      </c>
      <c r="J1" s="350"/>
      <c r="K1" s="350"/>
      <c r="L1" s="350"/>
      <c r="M1" s="350"/>
      <c r="N1" s="350"/>
      <c r="O1" s="351"/>
      <c r="P1" s="353" t="s">
        <v>7</v>
      </c>
      <c r="Q1" s="350"/>
      <c r="R1" s="350"/>
      <c r="S1" s="350"/>
      <c r="T1" s="350"/>
      <c r="U1" s="350"/>
      <c r="V1" s="351"/>
      <c r="W1" s="11"/>
    </row>
    <row r="2" spans="1:27" ht="14.25" customHeight="1">
      <c r="A2" s="13" t="s">
        <v>9</v>
      </c>
      <c r="B2" s="15" t="s">
        <v>32</v>
      </c>
      <c r="C2" s="13" t="s">
        <v>33</v>
      </c>
      <c r="D2" s="13" t="s">
        <v>12</v>
      </c>
      <c r="E2" s="13" t="s">
        <v>34</v>
      </c>
      <c r="F2" s="17" t="s">
        <v>35</v>
      </c>
      <c r="G2" s="17" t="s">
        <v>37</v>
      </c>
      <c r="H2" s="19" t="s">
        <v>38</v>
      </c>
      <c r="I2" s="15" t="s">
        <v>32</v>
      </c>
      <c r="J2" s="13" t="s">
        <v>33</v>
      </c>
      <c r="K2" s="13" t="s">
        <v>12</v>
      </c>
      <c r="L2" s="13" t="s">
        <v>34</v>
      </c>
      <c r="M2" s="17" t="s">
        <v>35</v>
      </c>
      <c r="N2" s="17" t="s">
        <v>37</v>
      </c>
      <c r="O2" s="19" t="s">
        <v>38</v>
      </c>
      <c r="P2" s="15" t="s">
        <v>32</v>
      </c>
      <c r="Q2" s="13" t="s">
        <v>33</v>
      </c>
      <c r="R2" s="13" t="s">
        <v>12</v>
      </c>
      <c r="S2" s="13" t="s">
        <v>34</v>
      </c>
      <c r="T2" s="17" t="s">
        <v>35</v>
      </c>
      <c r="U2" s="17" t="s">
        <v>37</v>
      </c>
      <c r="V2" s="19" t="s">
        <v>38</v>
      </c>
      <c r="W2" s="13"/>
      <c r="X2" s="13" t="s">
        <v>9</v>
      </c>
      <c r="Y2" s="9" t="s">
        <v>22</v>
      </c>
      <c r="Z2" s="12" t="s">
        <v>24</v>
      </c>
      <c r="AA2" s="20" t="s">
        <v>31</v>
      </c>
    </row>
    <row r="3" spans="1:27" ht="14.25" customHeight="1">
      <c r="A3" s="21">
        <v>35885</v>
      </c>
      <c r="B3" s="23"/>
      <c r="C3" s="25"/>
      <c r="D3" s="25">
        <v>0.1736</v>
      </c>
      <c r="E3" s="25"/>
      <c r="F3" s="26">
        <v>1478234</v>
      </c>
      <c r="G3" s="30"/>
      <c r="H3" s="32"/>
      <c r="I3" s="23"/>
      <c r="J3" s="25"/>
      <c r="K3" s="25">
        <v>0.1736</v>
      </c>
      <c r="L3" s="25"/>
      <c r="M3" s="26">
        <v>1478234</v>
      </c>
      <c r="N3" s="30"/>
      <c r="O3" s="32"/>
      <c r="P3" s="23"/>
      <c r="Q3" s="25"/>
      <c r="R3" s="25">
        <v>0.1736</v>
      </c>
      <c r="S3" s="25"/>
      <c r="T3" s="26">
        <v>1478234</v>
      </c>
      <c r="U3" s="30"/>
      <c r="V3" s="32"/>
      <c r="W3" s="34"/>
      <c r="X3" s="21">
        <v>35885</v>
      </c>
      <c r="Y3" s="36">
        <v>3968.9319195314938</v>
      </c>
      <c r="Z3" s="36">
        <v>3968.9319195314938</v>
      </c>
      <c r="AA3" s="36">
        <v>3968.9319195314938</v>
      </c>
    </row>
    <row r="4" spans="1:27" ht="14.25" customHeight="1">
      <c r="A4" s="21">
        <v>35976</v>
      </c>
      <c r="B4" s="23"/>
      <c r="C4" s="25"/>
      <c r="D4" s="25">
        <v>0.16350000000000001</v>
      </c>
      <c r="E4" s="25"/>
      <c r="F4" s="26">
        <v>1492188</v>
      </c>
      <c r="G4" s="30"/>
      <c r="H4" s="32"/>
      <c r="I4" s="23"/>
      <c r="J4" s="25"/>
      <c r="K4" s="25">
        <v>0.16350000000000001</v>
      </c>
      <c r="L4" s="25"/>
      <c r="M4" s="26">
        <v>1492188</v>
      </c>
      <c r="N4" s="30"/>
      <c r="O4" s="32"/>
      <c r="P4" s="23"/>
      <c r="Q4" s="25"/>
      <c r="R4" s="25">
        <v>0.16350000000000001</v>
      </c>
      <c r="S4" s="25"/>
      <c r="T4" s="26">
        <v>1492188</v>
      </c>
      <c r="U4" s="30"/>
      <c r="V4" s="32"/>
      <c r="W4" s="34"/>
      <c r="X4" s="21">
        <v>35976</v>
      </c>
      <c r="Y4" s="36">
        <v>4087.4607212149413</v>
      </c>
      <c r="Z4" s="36">
        <v>4087.4607212149413</v>
      </c>
      <c r="AA4" s="36">
        <v>4087.4607212149413</v>
      </c>
    </row>
    <row r="5" spans="1:27" ht="14.25" customHeight="1">
      <c r="A5" s="21">
        <v>36068</v>
      </c>
      <c r="B5" s="23"/>
      <c r="C5" s="25"/>
      <c r="D5" s="25">
        <v>0.1711</v>
      </c>
      <c r="E5" s="25"/>
      <c r="F5" s="26">
        <v>1488559</v>
      </c>
      <c r="G5" s="30"/>
      <c r="H5" s="32"/>
      <c r="I5" s="23"/>
      <c r="J5" s="25"/>
      <c r="K5" s="25">
        <v>0.1711</v>
      </c>
      <c r="L5" s="25"/>
      <c r="M5" s="26">
        <v>1488559</v>
      </c>
      <c r="N5" s="30"/>
      <c r="O5" s="32"/>
      <c r="P5" s="23"/>
      <c r="Q5" s="25"/>
      <c r="R5" s="25">
        <v>0.1711</v>
      </c>
      <c r="S5" s="25"/>
      <c r="T5" s="26">
        <v>1488559</v>
      </c>
      <c r="U5" s="30"/>
      <c r="V5" s="32"/>
      <c r="W5" s="34"/>
      <c r="X5" s="21">
        <v>36068</v>
      </c>
      <c r="Y5" s="36">
        <v>4232.776323748054</v>
      </c>
      <c r="Z5" s="36">
        <v>4232.776323748054</v>
      </c>
      <c r="AA5" s="36">
        <v>4232.776323748054</v>
      </c>
    </row>
    <row r="6" spans="1:27" ht="14.25" customHeight="1">
      <c r="A6" s="21">
        <v>36160</v>
      </c>
      <c r="B6" s="23"/>
      <c r="C6" s="25"/>
      <c r="D6" s="25">
        <v>0.18140000000000001</v>
      </c>
      <c r="E6" s="25"/>
      <c r="F6" s="26">
        <v>1471509</v>
      </c>
      <c r="G6" s="30"/>
      <c r="H6" s="32"/>
      <c r="I6" s="23"/>
      <c r="J6" s="25"/>
      <c r="K6" s="25">
        <v>0.18140000000000001</v>
      </c>
      <c r="L6" s="25"/>
      <c r="M6" s="26">
        <v>1471509</v>
      </c>
      <c r="N6" s="30"/>
      <c r="O6" s="32"/>
      <c r="P6" s="23"/>
      <c r="Q6" s="25"/>
      <c r="R6" s="25">
        <v>0.18140000000000001</v>
      </c>
      <c r="S6" s="25"/>
      <c r="T6" s="26">
        <v>1471509</v>
      </c>
      <c r="U6" s="30"/>
      <c r="V6" s="32"/>
      <c r="W6" s="34"/>
      <c r="X6" s="21">
        <v>36160</v>
      </c>
      <c r="Y6" s="36">
        <v>4218.8724233947014</v>
      </c>
      <c r="Z6" s="36">
        <v>4218.8724233947014</v>
      </c>
      <c r="AA6" s="36">
        <v>4218.8724233947014</v>
      </c>
    </row>
    <row r="7" spans="1:27" ht="14.25" customHeight="1">
      <c r="A7" s="21">
        <v>36250</v>
      </c>
      <c r="B7" s="23">
        <f t="shared" ref="B7:B70" si="0">Y7/Y3-1</f>
        <v>0.10720078668714716</v>
      </c>
      <c r="C7" s="25"/>
      <c r="D7" s="25">
        <v>0.18780000000000002</v>
      </c>
      <c r="E7" s="25"/>
      <c r="F7" s="26">
        <v>1430664</v>
      </c>
      <c r="G7" s="30"/>
      <c r="H7" s="32"/>
      <c r="I7" s="23">
        <f t="shared" ref="I7:I70" si="1">Z7/Z3-1</f>
        <v>0.10720078668714716</v>
      </c>
      <c r="J7" s="25"/>
      <c r="K7" s="25">
        <v>0.18780000000000002</v>
      </c>
      <c r="L7" s="25"/>
      <c r="M7" s="26">
        <v>1430664</v>
      </c>
      <c r="N7" s="30"/>
      <c r="O7" s="32"/>
      <c r="P7" s="23">
        <f t="shared" ref="P7:P70" si="2">AA7/AA3-1</f>
        <v>0.10720078668714716</v>
      </c>
      <c r="Q7" s="25"/>
      <c r="R7" s="25">
        <v>0.18780000000000002</v>
      </c>
      <c r="S7" s="25"/>
      <c r="T7" s="26">
        <v>1430664</v>
      </c>
      <c r="U7" s="30"/>
      <c r="V7" s="32"/>
      <c r="W7" s="34"/>
      <c r="X7" s="21">
        <v>36250</v>
      </c>
      <c r="Y7" s="36">
        <v>4394.4045436129991</v>
      </c>
      <c r="Z7" s="36">
        <v>4394.4045436129991</v>
      </c>
      <c r="AA7" s="36">
        <v>4394.4045436129991</v>
      </c>
    </row>
    <row r="8" spans="1:27" ht="14.25" customHeight="1">
      <c r="A8" s="21">
        <v>36341</v>
      </c>
      <c r="B8" s="23">
        <f t="shared" si="0"/>
        <v>9.7960989306197233E-2</v>
      </c>
      <c r="C8" s="25"/>
      <c r="D8" s="25">
        <v>0.1855</v>
      </c>
      <c r="E8" s="25"/>
      <c r="F8" s="26">
        <v>1433143</v>
      </c>
      <c r="G8" s="30"/>
      <c r="H8" s="32"/>
      <c r="I8" s="23">
        <f t="shared" si="1"/>
        <v>9.7960989306197233E-2</v>
      </c>
      <c r="J8" s="25"/>
      <c r="K8" s="25">
        <v>0.1855</v>
      </c>
      <c r="L8" s="25"/>
      <c r="M8" s="26">
        <v>1433143</v>
      </c>
      <c r="N8" s="30"/>
      <c r="O8" s="32"/>
      <c r="P8" s="23">
        <f t="shared" si="2"/>
        <v>9.7960989306197233E-2</v>
      </c>
      <c r="Q8" s="25"/>
      <c r="R8" s="25">
        <v>0.1855</v>
      </c>
      <c r="S8" s="25"/>
      <c r="T8" s="26">
        <v>1433143</v>
      </c>
      <c r="U8" s="30"/>
      <c r="V8" s="32"/>
      <c r="W8" s="34"/>
      <c r="X8" s="21">
        <v>36341</v>
      </c>
      <c r="Y8" s="36">
        <v>4487.8724172153798</v>
      </c>
      <c r="Z8" s="36">
        <v>4487.8724172153798</v>
      </c>
      <c r="AA8" s="36">
        <v>4487.8724172153798</v>
      </c>
    </row>
    <row r="9" spans="1:27" ht="14.25" customHeight="1">
      <c r="A9" s="21">
        <v>36433</v>
      </c>
      <c r="B9" s="23">
        <f t="shared" si="0"/>
        <v>8.2676911217472115E-2</v>
      </c>
      <c r="C9" s="25"/>
      <c r="D9" s="25">
        <v>0.19309999999999999</v>
      </c>
      <c r="E9" s="25"/>
      <c r="F9" s="26">
        <v>1425621</v>
      </c>
      <c r="G9" s="30"/>
      <c r="H9" s="32"/>
      <c r="I9" s="23">
        <f t="shared" si="1"/>
        <v>8.2676911217472115E-2</v>
      </c>
      <c r="J9" s="25"/>
      <c r="K9" s="25">
        <v>0.19309999999999999</v>
      </c>
      <c r="L9" s="25"/>
      <c r="M9" s="26">
        <v>1425621</v>
      </c>
      <c r="N9" s="30"/>
      <c r="O9" s="32"/>
      <c r="P9" s="23">
        <f t="shared" si="2"/>
        <v>8.2676911217472115E-2</v>
      </c>
      <c r="Q9" s="25"/>
      <c r="R9" s="25">
        <v>0.19309999999999999</v>
      </c>
      <c r="S9" s="25"/>
      <c r="T9" s="26">
        <v>1425621</v>
      </c>
      <c r="U9" s="30"/>
      <c r="V9" s="32"/>
      <c r="W9" s="34"/>
      <c r="X9" s="21">
        <v>36433</v>
      </c>
      <c r="Y9" s="36">
        <v>4582.7291960699895</v>
      </c>
      <c r="Z9" s="36">
        <v>4582.7291960699895</v>
      </c>
      <c r="AA9" s="36">
        <v>4582.7291960699895</v>
      </c>
    </row>
    <row r="10" spans="1:27" ht="14.25" customHeight="1">
      <c r="A10" s="21">
        <v>36525</v>
      </c>
      <c r="B10" s="23">
        <f t="shared" si="0"/>
        <v>0.11224188476972596</v>
      </c>
      <c r="C10" s="25">
        <v>3.875E-2</v>
      </c>
      <c r="D10" s="25">
        <v>0.20399999999999999</v>
      </c>
      <c r="E10" s="25"/>
      <c r="F10" s="26">
        <v>1406091</v>
      </c>
      <c r="G10" s="30"/>
      <c r="H10" s="32"/>
      <c r="I10" s="23">
        <f t="shared" si="1"/>
        <v>0.11224188476972596</v>
      </c>
      <c r="J10" s="25">
        <v>3.875E-2</v>
      </c>
      <c r="K10" s="25">
        <v>0.20399999999999999</v>
      </c>
      <c r="L10" s="25"/>
      <c r="M10" s="26">
        <v>1406091</v>
      </c>
      <c r="N10" s="30"/>
      <c r="O10" s="32"/>
      <c r="P10" s="23">
        <f t="shared" si="2"/>
        <v>0.11224188476972596</v>
      </c>
      <c r="Q10" s="25">
        <v>3.875E-2</v>
      </c>
      <c r="R10" s="25">
        <v>0.20399999999999999</v>
      </c>
      <c r="S10" s="25"/>
      <c r="T10" s="26">
        <v>1406091</v>
      </c>
      <c r="U10" s="30"/>
      <c r="V10" s="32"/>
      <c r="W10" s="34"/>
      <c r="X10" s="21">
        <v>36525</v>
      </c>
      <c r="Y10" s="36">
        <v>4692.4066157995439</v>
      </c>
      <c r="Z10" s="36">
        <v>4692.4066157995439</v>
      </c>
      <c r="AA10" s="36">
        <v>4692.4066157995439</v>
      </c>
    </row>
    <row r="11" spans="1:27" ht="14.25" customHeight="1">
      <c r="A11" s="21">
        <v>36616</v>
      </c>
      <c r="B11" s="23">
        <f t="shared" si="0"/>
        <v>9.9484784652531744E-2</v>
      </c>
      <c r="C11" s="25">
        <v>3.9E-2</v>
      </c>
      <c r="D11" s="25">
        <v>0.2104</v>
      </c>
      <c r="E11" s="25"/>
      <c r="F11" s="26">
        <v>1398160</v>
      </c>
      <c r="G11" s="26"/>
      <c r="H11" s="46"/>
      <c r="I11" s="23">
        <f t="shared" si="1"/>
        <v>9.9484784652531744E-2</v>
      </c>
      <c r="J11" s="25">
        <v>3.9E-2</v>
      </c>
      <c r="K11" s="25">
        <v>0.2104</v>
      </c>
      <c r="L11" s="25"/>
      <c r="M11" s="26">
        <v>1398160</v>
      </c>
      <c r="N11" s="26"/>
      <c r="O11" s="46"/>
      <c r="P11" s="23">
        <f t="shared" si="2"/>
        <v>9.9484784652531744E-2</v>
      </c>
      <c r="Q11" s="25">
        <v>3.9E-2</v>
      </c>
      <c r="R11" s="25">
        <v>0.2104</v>
      </c>
      <c r="S11" s="25"/>
      <c r="T11" s="26">
        <v>1398160</v>
      </c>
      <c r="U11" s="26"/>
      <c r="V11" s="46"/>
      <c r="W11" s="31"/>
      <c r="X11" s="21">
        <v>36616</v>
      </c>
      <c r="Y11" s="36">
        <v>4831.5809333104453</v>
      </c>
      <c r="Z11" s="36">
        <v>4831.5809333104453</v>
      </c>
      <c r="AA11" s="36">
        <v>4831.5809333104453</v>
      </c>
    </row>
    <row r="12" spans="1:27" ht="14.25" customHeight="1">
      <c r="A12" s="21">
        <v>36707</v>
      </c>
      <c r="B12" s="23">
        <f t="shared" si="0"/>
        <v>6.8690074751425856E-2</v>
      </c>
      <c r="C12" s="25">
        <v>4.1749999999999995E-2</v>
      </c>
      <c r="D12" s="25">
        <v>0.20190000000000002</v>
      </c>
      <c r="E12" s="25"/>
      <c r="F12" s="26">
        <v>1408644</v>
      </c>
      <c r="G12" s="26"/>
      <c r="H12" s="46"/>
      <c r="I12" s="23">
        <f t="shared" si="1"/>
        <v>6.8690074751425856E-2</v>
      </c>
      <c r="J12" s="25">
        <v>4.1749999999999995E-2</v>
      </c>
      <c r="K12" s="25">
        <v>0.20190000000000002</v>
      </c>
      <c r="L12" s="25"/>
      <c r="M12" s="26">
        <v>1408644</v>
      </c>
      <c r="N12" s="26"/>
      <c r="O12" s="46"/>
      <c r="P12" s="23">
        <f t="shared" si="2"/>
        <v>6.8690074751425856E-2</v>
      </c>
      <c r="Q12" s="25">
        <v>4.1749999999999995E-2</v>
      </c>
      <c r="R12" s="25">
        <v>0.20190000000000002</v>
      </c>
      <c r="S12" s="25"/>
      <c r="T12" s="26">
        <v>1408644</v>
      </c>
      <c r="U12" s="26"/>
      <c r="V12" s="46"/>
      <c r="W12" s="31"/>
      <c r="X12" s="21">
        <v>36707</v>
      </c>
      <c r="Y12" s="36">
        <v>4796.1447090287666</v>
      </c>
      <c r="Z12" s="36">
        <v>4796.1447090287666</v>
      </c>
      <c r="AA12" s="36">
        <v>4796.1447090287666</v>
      </c>
    </row>
    <row r="13" spans="1:27" ht="14.25" customHeight="1">
      <c r="A13" s="21">
        <v>36799</v>
      </c>
      <c r="B13" s="23">
        <f t="shared" si="0"/>
        <v>6.649814525719111E-2</v>
      </c>
      <c r="C13" s="25">
        <v>4.4499999999999998E-2</v>
      </c>
      <c r="D13" s="25">
        <v>0.21129999999999999</v>
      </c>
      <c r="E13" s="25"/>
      <c r="F13" s="26">
        <v>1401301</v>
      </c>
      <c r="G13" s="26"/>
      <c r="H13" s="46"/>
      <c r="I13" s="23">
        <f t="shared" si="1"/>
        <v>6.649814525719111E-2</v>
      </c>
      <c r="J13" s="25">
        <v>4.4499999999999998E-2</v>
      </c>
      <c r="K13" s="25">
        <v>0.21129999999999999</v>
      </c>
      <c r="L13" s="25"/>
      <c r="M13" s="26">
        <v>1401301</v>
      </c>
      <c r="N13" s="26"/>
      <c r="O13" s="46"/>
      <c r="P13" s="23">
        <f t="shared" si="2"/>
        <v>6.649814525719111E-2</v>
      </c>
      <c r="Q13" s="25">
        <v>4.4499999999999998E-2</v>
      </c>
      <c r="R13" s="25">
        <v>0.21129999999999999</v>
      </c>
      <c r="S13" s="25"/>
      <c r="T13" s="26">
        <v>1401301</v>
      </c>
      <c r="U13" s="26"/>
      <c r="V13" s="46"/>
      <c r="W13" s="31"/>
      <c r="X13" s="21">
        <v>36799</v>
      </c>
      <c r="Y13" s="36">
        <v>4887.4721878246219</v>
      </c>
      <c r="Z13" s="36">
        <v>4887.4721878246219</v>
      </c>
      <c r="AA13" s="36">
        <v>4887.4721878246219</v>
      </c>
    </row>
    <row r="14" spans="1:27" ht="14.25" customHeight="1">
      <c r="A14" s="21">
        <v>36891</v>
      </c>
      <c r="B14" s="23">
        <f t="shared" si="0"/>
        <v>5.5119395616705091E-2</v>
      </c>
      <c r="C14" s="25">
        <v>4.8500000000000001E-2</v>
      </c>
      <c r="D14" s="25">
        <v>0.22270000000000001</v>
      </c>
      <c r="E14" s="25"/>
      <c r="F14" s="26">
        <v>1380510</v>
      </c>
      <c r="G14" s="26">
        <f>SUM(bdp!AR29:AR32)*1000000</f>
        <v>179370641922.56406</v>
      </c>
      <c r="H14" s="46">
        <f t="shared" ref="H14:H94" si="3">G14/F14</f>
        <v>129930.70816043641</v>
      </c>
      <c r="I14" s="23">
        <f t="shared" si="1"/>
        <v>5.5119395616705091E-2</v>
      </c>
      <c r="J14" s="25">
        <v>4.8500000000000001E-2</v>
      </c>
      <c r="K14" s="25">
        <v>0.22270000000000001</v>
      </c>
      <c r="L14" s="25"/>
      <c r="M14" s="26">
        <v>1380510</v>
      </c>
      <c r="N14" s="26">
        <f>SUM(bdp!AU29:AU32)*1000000</f>
        <v>179370641922.56406</v>
      </c>
      <c r="O14" s="46">
        <f t="shared" ref="O14:O94" si="4">N14/M14</f>
        <v>129930.70816043641</v>
      </c>
      <c r="P14" s="23">
        <f t="shared" si="2"/>
        <v>5.5119395616705091E-2</v>
      </c>
      <c r="Q14" s="25">
        <v>4.8500000000000001E-2</v>
      </c>
      <c r="R14" s="25">
        <v>0.22270000000000001</v>
      </c>
      <c r="S14" s="25"/>
      <c r="T14" s="26">
        <v>1380510</v>
      </c>
      <c r="U14" s="26">
        <f>SUM(bdp!AX29:AX32)*1000000</f>
        <v>179370641922.56406</v>
      </c>
      <c r="V14" s="46">
        <f t="shared" ref="V14:V94" si="5">U14/T14</f>
        <v>129930.70816043641</v>
      </c>
      <c r="W14" s="31"/>
      <c r="X14" s="21">
        <v>36891</v>
      </c>
      <c r="Y14" s="36">
        <v>4951.0492324502429</v>
      </c>
      <c r="Z14" s="36">
        <v>4951.0492324502429</v>
      </c>
      <c r="AA14" s="36">
        <v>4951.0492324502429</v>
      </c>
    </row>
    <row r="15" spans="1:27" ht="14.25" customHeight="1">
      <c r="A15" s="21">
        <v>36981</v>
      </c>
      <c r="B15" s="23">
        <f t="shared" si="0"/>
        <v>3.3101073972897188E-2</v>
      </c>
      <c r="C15" s="25">
        <v>4.8750000000000002E-2</v>
      </c>
      <c r="D15" s="25">
        <v>0.22570000000000001</v>
      </c>
      <c r="E15" s="25"/>
      <c r="F15" s="26">
        <v>1376278</v>
      </c>
      <c r="G15" s="26">
        <f>SUM(bdp!AR30:AR33)*1000000</f>
        <v>182960499204.83032</v>
      </c>
      <c r="H15" s="46">
        <f t="shared" si="3"/>
        <v>132938.62083447553</v>
      </c>
      <c r="I15" s="23">
        <f t="shared" si="1"/>
        <v>3.3101073972897188E-2</v>
      </c>
      <c r="J15" s="25">
        <v>4.8750000000000002E-2</v>
      </c>
      <c r="K15" s="25">
        <v>0.22570000000000001</v>
      </c>
      <c r="L15" s="25"/>
      <c r="M15" s="26">
        <v>1376278</v>
      </c>
      <c r="N15" s="26">
        <f>SUM(bdp!AU30:AU33)*1000000</f>
        <v>182960499204.83032</v>
      </c>
      <c r="O15" s="46">
        <f t="shared" si="4"/>
        <v>132938.62083447553</v>
      </c>
      <c r="P15" s="23">
        <f t="shared" si="2"/>
        <v>3.3101073972897188E-2</v>
      </c>
      <c r="Q15" s="25">
        <v>4.8750000000000002E-2</v>
      </c>
      <c r="R15" s="25">
        <v>0.22570000000000001</v>
      </c>
      <c r="S15" s="25"/>
      <c r="T15" s="26">
        <v>1376278</v>
      </c>
      <c r="U15" s="26">
        <f>SUM(bdp!AX30:AX33)*1000000</f>
        <v>182960499204.83032</v>
      </c>
      <c r="V15" s="46">
        <f t="shared" si="5"/>
        <v>132938.62083447553</v>
      </c>
      <c r="W15" s="31"/>
      <c r="X15" s="21">
        <v>36981</v>
      </c>
      <c r="Y15" s="36">
        <v>4991.5114511899937</v>
      </c>
      <c r="Z15" s="36">
        <v>4991.5114511899937</v>
      </c>
      <c r="AA15" s="36">
        <v>4991.5114511899937</v>
      </c>
    </row>
    <row r="16" spans="1:27" ht="14.25" customHeight="1">
      <c r="A16" s="21">
        <v>37072</v>
      </c>
      <c r="B16" s="23">
        <f t="shared" si="0"/>
        <v>5.4741172509930935E-2</v>
      </c>
      <c r="C16" s="25">
        <v>4.7750000000000001E-2</v>
      </c>
      <c r="D16" s="25">
        <v>0.21170000000000003</v>
      </c>
      <c r="E16" s="25"/>
      <c r="F16" s="26">
        <v>1415344</v>
      </c>
      <c r="G16" s="26">
        <f>SUM(bdp!AR31:AR34)*1000000</f>
        <v>187281628047.17303</v>
      </c>
      <c r="H16" s="46">
        <f t="shared" si="3"/>
        <v>132322.33863087211</v>
      </c>
      <c r="I16" s="23">
        <f t="shared" si="1"/>
        <v>5.4741172509930935E-2</v>
      </c>
      <c r="J16" s="25">
        <v>4.7750000000000001E-2</v>
      </c>
      <c r="K16" s="25">
        <v>0.21170000000000003</v>
      </c>
      <c r="L16" s="25"/>
      <c r="M16" s="26">
        <v>1415344</v>
      </c>
      <c r="N16" s="26">
        <f>SUM(bdp!AU31:AU34)*1000000</f>
        <v>187281628047.17303</v>
      </c>
      <c r="O16" s="46">
        <f t="shared" si="4"/>
        <v>132322.33863087211</v>
      </c>
      <c r="P16" s="23">
        <f t="shared" si="2"/>
        <v>5.4741172509930935E-2</v>
      </c>
      <c r="Q16" s="25">
        <v>4.7750000000000001E-2</v>
      </c>
      <c r="R16" s="25">
        <v>0.21170000000000003</v>
      </c>
      <c r="S16" s="25"/>
      <c r="T16" s="26">
        <v>1415344</v>
      </c>
      <c r="U16" s="26">
        <f>SUM(bdp!AX31:AX34)*1000000</f>
        <v>187281628047.17303</v>
      </c>
      <c r="V16" s="46">
        <f t="shared" si="5"/>
        <v>132322.33863087211</v>
      </c>
      <c r="W16" s="31"/>
      <c r="X16" s="21">
        <v>37072</v>
      </c>
      <c r="Y16" s="36">
        <v>5058.6912939283029</v>
      </c>
      <c r="Z16" s="36">
        <v>5058.6912939283029</v>
      </c>
      <c r="AA16" s="36">
        <v>5058.6912939283029</v>
      </c>
    </row>
    <row r="17" spans="1:27" ht="14.25" customHeight="1">
      <c r="A17" s="21">
        <v>37164</v>
      </c>
      <c r="B17" s="23">
        <f t="shared" si="0"/>
        <v>3.5976115255917707E-2</v>
      </c>
      <c r="C17" s="25">
        <v>4.3000000000000003E-2</v>
      </c>
      <c r="D17" s="25">
        <v>0.2167</v>
      </c>
      <c r="E17" s="25"/>
      <c r="F17" s="26">
        <v>1420161</v>
      </c>
      <c r="G17" s="26">
        <f>SUM(bdp!AR32:AR35)*1000000</f>
        <v>190371029637.04791</v>
      </c>
      <c r="H17" s="46">
        <f t="shared" si="3"/>
        <v>134048.90687538096</v>
      </c>
      <c r="I17" s="23">
        <f t="shared" si="1"/>
        <v>3.5976115255917707E-2</v>
      </c>
      <c r="J17" s="25">
        <v>4.3000000000000003E-2</v>
      </c>
      <c r="K17" s="25">
        <v>0.2167</v>
      </c>
      <c r="L17" s="25"/>
      <c r="M17" s="26">
        <v>1420161</v>
      </c>
      <c r="N17" s="26">
        <f>SUM(bdp!AU32:AU35)*1000000</f>
        <v>190371029637.04791</v>
      </c>
      <c r="O17" s="46">
        <f t="shared" si="4"/>
        <v>134048.90687538096</v>
      </c>
      <c r="P17" s="23">
        <f t="shared" si="2"/>
        <v>3.5976115255917707E-2</v>
      </c>
      <c r="Q17" s="25">
        <v>4.3000000000000003E-2</v>
      </c>
      <c r="R17" s="25">
        <v>0.2167</v>
      </c>
      <c r="S17" s="25"/>
      <c r="T17" s="26">
        <v>1420161</v>
      </c>
      <c r="U17" s="26">
        <f>SUM(bdp!AX32:AX35)*1000000</f>
        <v>190371029637.04791</v>
      </c>
      <c r="V17" s="46">
        <f t="shared" si="5"/>
        <v>134048.90687538096</v>
      </c>
      <c r="W17" s="31"/>
      <c r="X17" s="21">
        <v>37164</v>
      </c>
      <c r="Y17" s="36">
        <v>5063.3044505638927</v>
      </c>
      <c r="Z17" s="36">
        <v>5063.3044505638927</v>
      </c>
      <c r="AA17" s="36">
        <v>5063.3044505638927</v>
      </c>
    </row>
    <row r="18" spans="1:27" ht="14.25" customHeight="1">
      <c r="A18" s="21">
        <v>37256</v>
      </c>
      <c r="B18" s="23">
        <f t="shared" si="0"/>
        <v>4.0763733942146052E-2</v>
      </c>
      <c r="C18" s="25">
        <v>3.5249999999999997E-2</v>
      </c>
      <c r="D18" s="25">
        <v>0.22769999999999999</v>
      </c>
      <c r="E18" s="25">
        <f t="shared" ref="E18:E94" si="6">H18/H14-1</f>
        <v>6.1359113315752944E-2</v>
      </c>
      <c r="F18" s="26">
        <v>1402102</v>
      </c>
      <c r="G18" s="26">
        <f>SUM(bdp!AR33:AR36)*1000000</f>
        <v>193354270090.72241</v>
      </c>
      <c r="H18" s="46">
        <f t="shared" si="3"/>
        <v>137903.14120564866</v>
      </c>
      <c r="I18" s="23">
        <f t="shared" si="1"/>
        <v>4.0763733942146052E-2</v>
      </c>
      <c r="J18" s="25">
        <v>3.5249999999999997E-2</v>
      </c>
      <c r="K18" s="25">
        <v>0.22769999999999999</v>
      </c>
      <c r="L18" s="25">
        <f t="shared" ref="L18:L94" si="7">O18/O14-1</f>
        <v>6.1359113315752944E-2</v>
      </c>
      <c r="M18" s="26">
        <v>1402102</v>
      </c>
      <c r="N18" s="26">
        <f>SUM(bdp!AU33:AU36)*1000000</f>
        <v>193354270090.72241</v>
      </c>
      <c r="O18" s="46">
        <f t="shared" si="4"/>
        <v>137903.14120564866</v>
      </c>
      <c r="P18" s="23">
        <f t="shared" si="2"/>
        <v>4.0763733942146052E-2</v>
      </c>
      <c r="Q18" s="25">
        <v>3.5249999999999997E-2</v>
      </c>
      <c r="R18" s="25">
        <v>0.22769999999999999</v>
      </c>
      <c r="S18" s="25">
        <f t="shared" ref="S18:S94" si="8">V18/V14-1</f>
        <v>6.1359113315752944E-2</v>
      </c>
      <c r="T18" s="26">
        <v>1402102</v>
      </c>
      <c r="U18" s="26">
        <f>SUM(bdp!AX33:AX36)*1000000</f>
        <v>193354270090.72241</v>
      </c>
      <c r="V18" s="46">
        <f t="shared" si="5"/>
        <v>137903.14120564866</v>
      </c>
      <c r="W18" s="31"/>
      <c r="X18" s="21">
        <v>37256</v>
      </c>
      <c r="Y18" s="36">
        <v>5152.8724860963111</v>
      </c>
      <c r="Z18" s="36">
        <v>5152.8724860963111</v>
      </c>
      <c r="AA18" s="36">
        <v>5152.8724860963111</v>
      </c>
    </row>
    <row r="19" spans="1:27" ht="14.25" customHeight="1">
      <c r="A19" s="21">
        <v>37346</v>
      </c>
      <c r="B19" s="23">
        <f t="shared" si="0"/>
        <v>3.777394039430404E-2</v>
      </c>
      <c r="C19" s="25">
        <v>3.175E-2</v>
      </c>
      <c r="D19" s="25">
        <v>0.2361</v>
      </c>
      <c r="E19" s="25">
        <f t="shared" si="6"/>
        <v>6.4629712393510452E-2</v>
      </c>
      <c r="F19" s="26">
        <v>1398614</v>
      </c>
      <c r="G19" s="26">
        <f>SUM(bdp!AR34:AR37)*1000000</f>
        <v>197946406788.74496</v>
      </c>
      <c r="H19" s="46">
        <f t="shared" si="3"/>
        <v>141530.40566499761</v>
      </c>
      <c r="I19" s="23">
        <f t="shared" si="1"/>
        <v>3.777394039430404E-2</v>
      </c>
      <c r="J19" s="25">
        <v>3.175E-2</v>
      </c>
      <c r="K19" s="25">
        <v>0.2361</v>
      </c>
      <c r="L19" s="25">
        <f t="shared" si="7"/>
        <v>6.4629712393510452E-2</v>
      </c>
      <c r="M19" s="26">
        <v>1398614</v>
      </c>
      <c r="N19" s="26">
        <f>SUM(bdp!AU34:AU37)*1000000</f>
        <v>197946406788.74496</v>
      </c>
      <c r="O19" s="46">
        <f t="shared" si="4"/>
        <v>141530.40566499761</v>
      </c>
      <c r="P19" s="23">
        <f t="shared" si="2"/>
        <v>3.777394039430404E-2</v>
      </c>
      <c r="Q19" s="25">
        <v>3.175E-2</v>
      </c>
      <c r="R19" s="25">
        <v>0.2361</v>
      </c>
      <c r="S19" s="25">
        <f t="shared" si="8"/>
        <v>6.4629712393510452E-2</v>
      </c>
      <c r="T19" s="26">
        <v>1398614</v>
      </c>
      <c r="U19" s="26">
        <f>SUM(bdp!AX34:AX37)*1000000</f>
        <v>197946406788.74496</v>
      </c>
      <c r="V19" s="46">
        <f t="shared" si="5"/>
        <v>141530.40566499761</v>
      </c>
      <c r="W19" s="31"/>
      <c r="X19" s="21">
        <v>37346</v>
      </c>
      <c r="Y19" s="36">
        <v>5180.0605072247308</v>
      </c>
      <c r="Z19" s="36">
        <v>5180.0605072247308</v>
      </c>
      <c r="AA19" s="36">
        <v>5180.0605072247308</v>
      </c>
    </row>
    <row r="20" spans="1:27" ht="14.25" customHeight="1">
      <c r="A20" s="21">
        <v>37437</v>
      </c>
      <c r="B20" s="23">
        <f t="shared" si="0"/>
        <v>5.8853007886493502E-2</v>
      </c>
      <c r="C20" s="25">
        <v>2.3E-2</v>
      </c>
      <c r="D20" s="25">
        <v>0.21940000000000001</v>
      </c>
      <c r="E20" s="25">
        <f t="shared" si="6"/>
        <v>6.4194967315341911E-2</v>
      </c>
      <c r="F20" s="26">
        <v>1432021</v>
      </c>
      <c r="G20" s="26">
        <f>SUM(bdp!AR35:AR38)*1000000</f>
        <v>201652567258.92215</v>
      </c>
      <c r="H20" s="46">
        <f t="shared" si="3"/>
        <v>140816.76683437056</v>
      </c>
      <c r="I20" s="23">
        <f t="shared" si="1"/>
        <v>5.8853007886493502E-2</v>
      </c>
      <c r="J20" s="25">
        <v>2.3E-2</v>
      </c>
      <c r="K20" s="25">
        <v>0.21940000000000001</v>
      </c>
      <c r="L20" s="25">
        <f t="shared" si="7"/>
        <v>6.4194967315341911E-2</v>
      </c>
      <c r="M20" s="26">
        <v>1432021</v>
      </c>
      <c r="N20" s="26">
        <f>SUM(bdp!AU35:AU38)*1000000</f>
        <v>201652567258.92215</v>
      </c>
      <c r="O20" s="46">
        <f t="shared" si="4"/>
        <v>140816.76683437056</v>
      </c>
      <c r="P20" s="23">
        <f t="shared" si="2"/>
        <v>5.8853007886493502E-2</v>
      </c>
      <c r="Q20" s="25">
        <v>2.3E-2</v>
      </c>
      <c r="R20" s="25">
        <v>0.21940000000000001</v>
      </c>
      <c r="S20" s="25">
        <f t="shared" si="8"/>
        <v>6.4194967315341911E-2</v>
      </c>
      <c r="T20" s="26">
        <v>1432021</v>
      </c>
      <c r="U20" s="26">
        <f>SUM(bdp!AX35:AX38)*1000000</f>
        <v>201652567258.92215</v>
      </c>
      <c r="V20" s="46">
        <f t="shared" si="5"/>
        <v>140816.76683437056</v>
      </c>
      <c r="W20" s="31"/>
      <c r="X20" s="21">
        <v>37437</v>
      </c>
      <c r="Y20" s="36">
        <v>5356.4104925452011</v>
      </c>
      <c r="Z20" s="36">
        <v>5356.4104925452011</v>
      </c>
      <c r="AA20" s="36">
        <v>5356.4104925452011</v>
      </c>
    </row>
    <row r="21" spans="1:27" ht="14.25" customHeight="1">
      <c r="A21" s="21">
        <v>37529</v>
      </c>
      <c r="B21" s="23">
        <f t="shared" si="0"/>
        <v>7.1126666326136512E-2</v>
      </c>
      <c r="C21" s="25">
        <v>1.7000000000000001E-2</v>
      </c>
      <c r="D21" s="25">
        <v>0.21460000000000001</v>
      </c>
      <c r="E21" s="25">
        <f t="shared" si="6"/>
        <v>7.4505067564607064E-2</v>
      </c>
      <c r="F21" s="26">
        <v>1441024</v>
      </c>
      <c r="G21" s="26">
        <f>SUM(bdp!AR36:AR39)*1000000</f>
        <v>207559663923.54666</v>
      </c>
      <c r="H21" s="46">
        <f t="shared" si="3"/>
        <v>144036.22973909293</v>
      </c>
      <c r="I21" s="23">
        <f t="shared" si="1"/>
        <v>7.1126666326136512E-2</v>
      </c>
      <c r="J21" s="25">
        <v>1.7000000000000001E-2</v>
      </c>
      <c r="K21" s="25">
        <v>0.21460000000000001</v>
      </c>
      <c r="L21" s="25">
        <f t="shared" si="7"/>
        <v>7.4505067564607064E-2</v>
      </c>
      <c r="M21" s="26">
        <v>1441024</v>
      </c>
      <c r="N21" s="26">
        <f>SUM(bdp!AU36:AU39)*1000000</f>
        <v>207559663923.54666</v>
      </c>
      <c r="O21" s="46">
        <f t="shared" si="4"/>
        <v>144036.22973909293</v>
      </c>
      <c r="P21" s="23">
        <f t="shared" si="2"/>
        <v>7.1126666326136512E-2</v>
      </c>
      <c r="Q21" s="25">
        <v>1.7000000000000001E-2</v>
      </c>
      <c r="R21" s="25">
        <v>0.21460000000000001</v>
      </c>
      <c r="S21" s="25">
        <f t="shared" si="8"/>
        <v>7.4505067564607064E-2</v>
      </c>
      <c r="T21" s="26">
        <v>1441024</v>
      </c>
      <c r="U21" s="26">
        <f>SUM(bdp!AX36:AX39)*1000000</f>
        <v>207559663923.54666</v>
      </c>
      <c r="V21" s="46">
        <f t="shared" si="5"/>
        <v>144036.22973909293</v>
      </c>
      <c r="W21" s="31"/>
      <c r="X21" s="21">
        <v>37529</v>
      </c>
      <c r="Y21" s="36">
        <v>5423.440416726793</v>
      </c>
      <c r="Z21" s="36">
        <v>5423.440416726793</v>
      </c>
      <c r="AA21" s="36">
        <v>5423.440416726793</v>
      </c>
    </row>
    <row r="22" spans="1:27" ht="14.25" customHeight="1">
      <c r="A22" s="21">
        <v>37621</v>
      </c>
      <c r="B22" s="23">
        <f t="shared" si="0"/>
        <v>7.7784214919253358E-2</v>
      </c>
      <c r="C22" s="25">
        <v>1.5500000000000002E-2</v>
      </c>
      <c r="D22" s="25">
        <v>0.2132</v>
      </c>
      <c r="E22" s="25">
        <f t="shared" si="6"/>
        <v>7.6441535569298003E-2</v>
      </c>
      <c r="F22" s="26">
        <v>1421981</v>
      </c>
      <c r="G22" s="26">
        <f>SUM(bdp!AR37:AR40)*1000000</f>
        <v>211085498981.96417</v>
      </c>
      <c r="H22" s="46">
        <f t="shared" si="3"/>
        <v>148444.66907923817</v>
      </c>
      <c r="I22" s="23">
        <f t="shared" si="1"/>
        <v>7.7784214919253358E-2</v>
      </c>
      <c r="J22" s="25">
        <v>1.5500000000000002E-2</v>
      </c>
      <c r="K22" s="25">
        <v>0.2132</v>
      </c>
      <c r="L22" s="25">
        <f t="shared" si="7"/>
        <v>7.6441535569298003E-2</v>
      </c>
      <c r="M22" s="26">
        <v>1421981</v>
      </c>
      <c r="N22" s="26">
        <f>SUM(bdp!AU37:AU40)*1000000</f>
        <v>211085498981.96417</v>
      </c>
      <c r="O22" s="46">
        <f t="shared" si="4"/>
        <v>148444.66907923817</v>
      </c>
      <c r="P22" s="23">
        <f t="shared" si="2"/>
        <v>7.7784214919253358E-2</v>
      </c>
      <c r="Q22" s="25">
        <v>1.5500000000000002E-2</v>
      </c>
      <c r="R22" s="25">
        <v>0.2132</v>
      </c>
      <c r="S22" s="25">
        <f t="shared" si="8"/>
        <v>7.6441535569298003E-2</v>
      </c>
      <c r="T22" s="26">
        <v>1421981</v>
      </c>
      <c r="U22" s="26">
        <f>SUM(bdp!AX37:AX40)*1000000</f>
        <v>211085498981.96417</v>
      </c>
      <c r="V22" s="46">
        <f t="shared" si="5"/>
        <v>148444.66907923817</v>
      </c>
      <c r="W22" s="31"/>
      <c r="X22" s="21">
        <v>37621</v>
      </c>
      <c r="Y22" s="36">
        <v>5553.6846270063343</v>
      </c>
      <c r="Z22" s="36">
        <v>5553.6846270063343</v>
      </c>
      <c r="AA22" s="36">
        <v>5553.6846270063343</v>
      </c>
    </row>
    <row r="23" spans="1:27" ht="14.25" customHeight="1">
      <c r="A23" s="21">
        <v>37711</v>
      </c>
      <c r="B23" s="23">
        <f t="shared" si="0"/>
        <v>6.9702132758422852E-2</v>
      </c>
      <c r="C23" s="25">
        <v>1.4250000000000002E-2</v>
      </c>
      <c r="D23" s="25">
        <v>0.20600000000000002</v>
      </c>
      <c r="E23" s="25">
        <f t="shared" si="6"/>
        <v>7.3603511606069816E-2</v>
      </c>
      <c r="F23" s="26">
        <v>1420495</v>
      </c>
      <c r="G23" s="26">
        <f>SUM(bdp!AR38:AR41)*1000000</f>
        <v>215840721572.3396</v>
      </c>
      <c r="H23" s="46">
        <f t="shared" si="3"/>
        <v>151947.54052097304</v>
      </c>
      <c r="I23" s="23">
        <f t="shared" si="1"/>
        <v>6.9702132758422852E-2</v>
      </c>
      <c r="J23" s="25">
        <v>1.4250000000000002E-2</v>
      </c>
      <c r="K23" s="25">
        <v>0.20600000000000002</v>
      </c>
      <c r="L23" s="25">
        <f t="shared" si="7"/>
        <v>7.3603511606069816E-2</v>
      </c>
      <c r="M23" s="26">
        <v>1420495</v>
      </c>
      <c r="N23" s="26">
        <f>SUM(bdp!AU38:AU41)*1000000</f>
        <v>215840721572.3396</v>
      </c>
      <c r="O23" s="46">
        <f t="shared" si="4"/>
        <v>151947.54052097304</v>
      </c>
      <c r="P23" s="23">
        <f t="shared" si="2"/>
        <v>6.9702132758422852E-2</v>
      </c>
      <c r="Q23" s="25">
        <v>1.4250000000000002E-2</v>
      </c>
      <c r="R23" s="25">
        <v>0.20600000000000002</v>
      </c>
      <c r="S23" s="25">
        <f t="shared" si="8"/>
        <v>7.3603511606069816E-2</v>
      </c>
      <c r="T23" s="26">
        <v>1420495</v>
      </c>
      <c r="U23" s="26">
        <f>SUM(bdp!AX38:AX41)*1000000</f>
        <v>215840721572.3396</v>
      </c>
      <c r="V23" s="46">
        <f t="shared" si="5"/>
        <v>151947.54052097304</v>
      </c>
      <c r="W23" s="31"/>
      <c r="X23" s="21">
        <v>37711</v>
      </c>
      <c r="Y23" s="36">
        <v>5541.1217723959717</v>
      </c>
      <c r="Z23" s="36">
        <v>5541.1217723959717</v>
      </c>
      <c r="AA23" s="36">
        <v>5541.1217723959717</v>
      </c>
    </row>
    <row r="24" spans="1:27" ht="14.25" customHeight="1">
      <c r="A24" s="21">
        <v>37802</v>
      </c>
      <c r="B24" s="23">
        <f t="shared" si="0"/>
        <v>3.8224224778289351E-2</v>
      </c>
      <c r="C24" s="25">
        <v>1.6E-2</v>
      </c>
      <c r="D24" s="25">
        <v>0.185</v>
      </c>
      <c r="E24" s="25">
        <f t="shared" si="6"/>
        <v>7.7827231859792345E-2</v>
      </c>
      <c r="F24" s="26">
        <v>1460618</v>
      </c>
      <c r="G24" s="26">
        <f>SUM(bdp!AR39:AR42)*1000000</f>
        <v>221686970813.1676</v>
      </c>
      <c r="H24" s="46">
        <f t="shared" si="3"/>
        <v>151776.14599653543</v>
      </c>
      <c r="I24" s="23">
        <f t="shared" si="1"/>
        <v>3.8224224778289351E-2</v>
      </c>
      <c r="J24" s="25">
        <v>1.6E-2</v>
      </c>
      <c r="K24" s="25">
        <v>0.185</v>
      </c>
      <c r="L24" s="25">
        <f t="shared" si="7"/>
        <v>7.7827231859792345E-2</v>
      </c>
      <c r="M24" s="26">
        <v>1460618</v>
      </c>
      <c r="N24" s="26">
        <f>SUM(bdp!AU39:AU42)*1000000</f>
        <v>221686970813.1676</v>
      </c>
      <c r="O24" s="46">
        <f t="shared" si="4"/>
        <v>151776.14599653543</v>
      </c>
      <c r="P24" s="23">
        <f t="shared" si="2"/>
        <v>3.8224224778289351E-2</v>
      </c>
      <c r="Q24" s="25">
        <v>1.6E-2</v>
      </c>
      <c r="R24" s="25">
        <v>0.185</v>
      </c>
      <c r="S24" s="25">
        <f t="shared" si="8"/>
        <v>7.7827231859792345E-2</v>
      </c>
      <c r="T24" s="26">
        <v>1460618</v>
      </c>
      <c r="U24" s="26">
        <f>SUM(bdp!AX39:AX42)*1000000</f>
        <v>221686970813.1676</v>
      </c>
      <c r="V24" s="46">
        <f t="shared" si="5"/>
        <v>151776.14599653543</v>
      </c>
      <c r="W24" s="31"/>
      <c r="X24" s="21">
        <v>37802</v>
      </c>
      <c r="Y24" s="36">
        <v>5561.1551312170368</v>
      </c>
      <c r="Z24" s="36">
        <v>5561.1551312170368</v>
      </c>
      <c r="AA24" s="36">
        <v>5561.1551312170368</v>
      </c>
    </row>
    <row r="25" spans="1:27" ht="14.25" customHeight="1">
      <c r="A25" s="21">
        <v>37894</v>
      </c>
      <c r="B25" s="23">
        <f t="shared" si="0"/>
        <v>4.4618497348130504E-2</v>
      </c>
      <c r="C25" s="25">
        <v>1.8500000000000003E-2</v>
      </c>
      <c r="D25" s="25">
        <v>0.17879999999999999</v>
      </c>
      <c r="E25" s="25">
        <f t="shared" si="6"/>
        <v>7.8293879241798647E-2</v>
      </c>
      <c r="F25" s="26">
        <v>1465472</v>
      </c>
      <c r="G25" s="26">
        <f>SUM(bdp!AR40:AR43)*1000000</f>
        <v>227607416820.68933</v>
      </c>
      <c r="H25" s="46">
        <f t="shared" si="3"/>
        <v>155313.38491672944</v>
      </c>
      <c r="I25" s="23">
        <f t="shared" si="1"/>
        <v>4.4618497348130504E-2</v>
      </c>
      <c r="J25" s="25">
        <v>1.8500000000000003E-2</v>
      </c>
      <c r="K25" s="25">
        <v>0.17879999999999999</v>
      </c>
      <c r="L25" s="25">
        <f t="shared" si="7"/>
        <v>7.8293879241798647E-2</v>
      </c>
      <c r="M25" s="26">
        <v>1465472</v>
      </c>
      <c r="N25" s="26">
        <f>SUM(bdp!AU40:AU43)*1000000</f>
        <v>227607416820.68933</v>
      </c>
      <c r="O25" s="46">
        <f t="shared" si="4"/>
        <v>155313.38491672944</v>
      </c>
      <c r="P25" s="23">
        <f t="shared" si="2"/>
        <v>4.4618497348130504E-2</v>
      </c>
      <c r="Q25" s="25">
        <v>1.8500000000000003E-2</v>
      </c>
      <c r="R25" s="25">
        <v>0.17879999999999999</v>
      </c>
      <c r="S25" s="25">
        <f t="shared" si="8"/>
        <v>7.8293879241798647E-2</v>
      </c>
      <c r="T25" s="26">
        <v>1465472</v>
      </c>
      <c r="U25" s="26">
        <f>SUM(bdp!AX40:AX43)*1000000</f>
        <v>227607416820.68933</v>
      </c>
      <c r="V25" s="46">
        <f t="shared" si="5"/>
        <v>155313.38491672944</v>
      </c>
      <c r="W25" s="31"/>
      <c r="X25" s="21">
        <v>37894</v>
      </c>
      <c r="Y25" s="36">
        <v>5665.426178578261</v>
      </c>
      <c r="Z25" s="36">
        <v>5665.426178578261</v>
      </c>
      <c r="AA25" s="36">
        <v>5665.426178578261</v>
      </c>
    </row>
    <row r="26" spans="1:27" ht="14.25" customHeight="1">
      <c r="A26" s="21">
        <v>37986</v>
      </c>
      <c r="B26" s="23">
        <f t="shared" si="0"/>
        <v>2.8696878569142825E-2</v>
      </c>
      <c r="C26" s="25">
        <v>1.8250000000000002E-2</v>
      </c>
      <c r="D26" s="25">
        <v>0.1867</v>
      </c>
      <c r="E26" s="25">
        <f t="shared" si="6"/>
        <v>8.4998736045207579E-2</v>
      </c>
      <c r="F26" s="26">
        <v>1443995</v>
      </c>
      <c r="G26" s="26">
        <f>SUM(bdp!AR41:AR44)*1000000</f>
        <v>232573124587.91928</v>
      </c>
      <c r="H26" s="46">
        <f t="shared" si="3"/>
        <v>161062.27832362251</v>
      </c>
      <c r="I26" s="23">
        <f t="shared" si="1"/>
        <v>2.8696878569142825E-2</v>
      </c>
      <c r="J26" s="25">
        <v>1.8250000000000002E-2</v>
      </c>
      <c r="K26" s="25">
        <v>0.1867</v>
      </c>
      <c r="L26" s="25">
        <f t="shared" si="7"/>
        <v>8.4998736045207579E-2</v>
      </c>
      <c r="M26" s="26">
        <v>1443995</v>
      </c>
      <c r="N26" s="26">
        <f>SUM(bdp!AU41:AU44)*1000000</f>
        <v>232573124587.91928</v>
      </c>
      <c r="O26" s="46">
        <f t="shared" si="4"/>
        <v>161062.27832362251</v>
      </c>
      <c r="P26" s="23">
        <f t="shared" si="2"/>
        <v>2.8696878569142825E-2</v>
      </c>
      <c r="Q26" s="25">
        <v>1.8250000000000002E-2</v>
      </c>
      <c r="R26" s="25">
        <v>0.1867</v>
      </c>
      <c r="S26" s="25">
        <f t="shared" si="8"/>
        <v>8.4998736045207579E-2</v>
      </c>
      <c r="T26" s="26">
        <v>1443995</v>
      </c>
      <c r="U26" s="26">
        <f>SUM(bdp!AX41:AX44)*1000000</f>
        <v>232573124587.91928</v>
      </c>
      <c r="V26" s="46">
        <f t="shared" si="5"/>
        <v>161062.27832362251</v>
      </c>
      <c r="W26" s="31"/>
      <c r="X26" s="21">
        <v>37986</v>
      </c>
      <c r="Y26" s="36">
        <v>5713.0580403588501</v>
      </c>
      <c r="Z26" s="36">
        <v>5713.0580403588501</v>
      </c>
      <c r="AA26" s="36">
        <v>5713.0580403588501</v>
      </c>
    </row>
    <row r="27" spans="1:27" ht="14.25" customHeight="1">
      <c r="A27" s="21">
        <v>38077</v>
      </c>
      <c r="B27" s="23">
        <f t="shared" si="0"/>
        <v>5.4262553136249725E-2</v>
      </c>
      <c r="C27" s="25">
        <v>1.6250000000000001E-2</v>
      </c>
      <c r="D27" s="25">
        <v>0.18890000000000001</v>
      </c>
      <c r="E27" s="25">
        <f t="shared" si="6"/>
        <v>7.9386919070675077E-2</v>
      </c>
      <c r="F27" s="26">
        <v>1444576</v>
      </c>
      <c r="G27" s="26">
        <f>SUM(bdp!AR42:AR45)*1000000</f>
        <v>236925180796.11572</v>
      </c>
      <c r="H27" s="46">
        <f t="shared" si="3"/>
        <v>164010.18762329966</v>
      </c>
      <c r="I27" s="23">
        <f t="shared" si="1"/>
        <v>5.4262553136249725E-2</v>
      </c>
      <c r="J27" s="25">
        <v>1.6250000000000001E-2</v>
      </c>
      <c r="K27" s="25">
        <v>0.18890000000000001</v>
      </c>
      <c r="L27" s="25">
        <f t="shared" si="7"/>
        <v>7.9386919070675077E-2</v>
      </c>
      <c r="M27" s="26">
        <v>1444576</v>
      </c>
      <c r="N27" s="26">
        <f>SUM(bdp!AU42:AU45)*1000000</f>
        <v>236925180796.11572</v>
      </c>
      <c r="O27" s="46">
        <f t="shared" si="4"/>
        <v>164010.18762329966</v>
      </c>
      <c r="P27" s="23">
        <f t="shared" si="2"/>
        <v>5.4262553136249725E-2</v>
      </c>
      <c r="Q27" s="25">
        <v>1.6250000000000001E-2</v>
      </c>
      <c r="R27" s="25">
        <v>0.18890000000000001</v>
      </c>
      <c r="S27" s="25">
        <f t="shared" si="8"/>
        <v>7.9386919070675077E-2</v>
      </c>
      <c r="T27" s="26">
        <v>1444576</v>
      </c>
      <c r="U27" s="26">
        <f>SUM(bdp!AX42:AX45)*1000000</f>
        <v>236925180796.11572</v>
      </c>
      <c r="V27" s="46">
        <f t="shared" si="5"/>
        <v>164010.18762329966</v>
      </c>
      <c r="W27" s="31"/>
      <c r="X27" s="21">
        <v>38077</v>
      </c>
      <c r="Y27" s="36">
        <v>5841.7971870050378</v>
      </c>
      <c r="Z27" s="36">
        <v>5841.7971870050378</v>
      </c>
      <c r="AA27" s="36">
        <v>5841.7971870050378</v>
      </c>
    </row>
    <row r="28" spans="1:27" ht="14.25" customHeight="1">
      <c r="A28" s="21">
        <v>38168</v>
      </c>
      <c r="B28" s="23">
        <f t="shared" si="0"/>
        <v>6.6121885122037982E-2</v>
      </c>
      <c r="C28" s="25">
        <v>1.8750000000000003E-2</v>
      </c>
      <c r="D28" s="25">
        <v>0.17190000000000003</v>
      </c>
      <c r="E28" s="25">
        <f t="shared" si="6"/>
        <v>7.6663474437314694E-2</v>
      </c>
      <c r="F28" s="26">
        <v>1477476</v>
      </c>
      <c r="G28" s="26">
        <f>SUM(bdp!AR43:AR46)*1000000</f>
        <v>241437060908.59796</v>
      </c>
      <c r="H28" s="46">
        <f t="shared" si="3"/>
        <v>163411.83268533496</v>
      </c>
      <c r="I28" s="23">
        <f t="shared" si="1"/>
        <v>6.6121885122037982E-2</v>
      </c>
      <c r="J28" s="25">
        <v>1.8750000000000003E-2</v>
      </c>
      <c r="K28" s="25">
        <v>0.17190000000000003</v>
      </c>
      <c r="L28" s="25">
        <f t="shared" si="7"/>
        <v>7.6663474437314694E-2</v>
      </c>
      <c r="M28" s="26">
        <v>1477476</v>
      </c>
      <c r="N28" s="26">
        <f>SUM(bdp!AU43:AU46)*1000000</f>
        <v>241437060908.59796</v>
      </c>
      <c r="O28" s="46">
        <f t="shared" si="4"/>
        <v>163411.83268533496</v>
      </c>
      <c r="P28" s="23">
        <f t="shared" si="2"/>
        <v>6.6121885122037982E-2</v>
      </c>
      <c r="Q28" s="25">
        <v>1.8750000000000003E-2</v>
      </c>
      <c r="R28" s="25">
        <v>0.17190000000000003</v>
      </c>
      <c r="S28" s="25">
        <f t="shared" si="8"/>
        <v>7.6663474437314694E-2</v>
      </c>
      <c r="T28" s="26">
        <v>1477476</v>
      </c>
      <c r="U28" s="26">
        <f>SUM(bdp!AX43:AX46)*1000000</f>
        <v>241437060908.59796</v>
      </c>
      <c r="V28" s="46">
        <f t="shared" si="5"/>
        <v>163411.83268533496</v>
      </c>
      <c r="W28" s="31"/>
      <c r="X28" s="21">
        <v>38168</v>
      </c>
      <c r="Y28" s="36">
        <v>5928.8691919492012</v>
      </c>
      <c r="Z28" s="36">
        <v>5928.8691919492012</v>
      </c>
      <c r="AA28" s="36">
        <v>5928.8691919492012</v>
      </c>
    </row>
    <row r="29" spans="1:27" ht="14.25" customHeight="1">
      <c r="A29" s="21">
        <v>38260</v>
      </c>
      <c r="B29" s="23">
        <f t="shared" si="0"/>
        <v>6.3933945927444613E-2</v>
      </c>
      <c r="C29" s="25">
        <v>1.8000000000000002E-2</v>
      </c>
      <c r="D29" s="25">
        <v>0.17379999999999998</v>
      </c>
      <c r="E29" s="25">
        <f t="shared" si="6"/>
        <v>6.9116063269170969E-2</v>
      </c>
      <c r="F29" s="26">
        <v>1481243</v>
      </c>
      <c r="G29" s="26">
        <f>SUM(bdp!AR44:AR47)*1000000</f>
        <v>245957488996.74753</v>
      </c>
      <c r="H29" s="46">
        <f t="shared" si="3"/>
        <v>166048.0346551832</v>
      </c>
      <c r="I29" s="23">
        <f t="shared" si="1"/>
        <v>6.3933945927444613E-2</v>
      </c>
      <c r="J29" s="25">
        <v>1.8000000000000002E-2</v>
      </c>
      <c r="K29" s="25">
        <v>0.17379999999999998</v>
      </c>
      <c r="L29" s="25">
        <f t="shared" si="7"/>
        <v>6.9116063269170969E-2</v>
      </c>
      <c r="M29" s="26">
        <v>1481243</v>
      </c>
      <c r="N29" s="26">
        <f>SUM(bdp!AU44:AU47)*1000000</f>
        <v>245957488996.74753</v>
      </c>
      <c r="O29" s="46">
        <f t="shared" si="4"/>
        <v>166048.0346551832</v>
      </c>
      <c r="P29" s="23">
        <f t="shared" si="2"/>
        <v>6.3933945927444613E-2</v>
      </c>
      <c r="Q29" s="25">
        <v>1.8000000000000002E-2</v>
      </c>
      <c r="R29" s="25">
        <v>0.17379999999999998</v>
      </c>
      <c r="S29" s="25">
        <f t="shared" si="8"/>
        <v>6.9116063269170969E-2</v>
      </c>
      <c r="T29" s="26">
        <v>1481243</v>
      </c>
      <c r="U29" s="26">
        <f>SUM(bdp!AX44:AX47)*1000000</f>
        <v>245957488996.74753</v>
      </c>
      <c r="V29" s="46">
        <f t="shared" si="5"/>
        <v>166048.0346551832</v>
      </c>
      <c r="W29" s="31"/>
      <c r="X29" s="21">
        <v>38260</v>
      </c>
      <c r="Y29" s="36">
        <v>6027.6392295354126</v>
      </c>
      <c r="Z29" s="36">
        <v>6027.6392295354126</v>
      </c>
      <c r="AA29" s="36">
        <v>6027.6392295354126</v>
      </c>
    </row>
    <row r="30" spans="1:27" ht="14.25" customHeight="1">
      <c r="A30" s="21">
        <v>38352</v>
      </c>
      <c r="B30" s="23">
        <f t="shared" si="0"/>
        <v>6.332888023447758E-2</v>
      </c>
      <c r="C30" s="25">
        <v>2.0500000000000001E-2</v>
      </c>
      <c r="D30" s="25">
        <v>0.1852</v>
      </c>
      <c r="E30" s="25">
        <f t="shared" si="6"/>
        <v>6.7294330084262111E-2</v>
      </c>
      <c r="F30" s="26">
        <v>1460105</v>
      </c>
      <c r="G30" s="26">
        <f>SUM(bdp!AR45:AR48)*1000000</f>
        <v>250993300000</v>
      </c>
      <c r="H30" s="46">
        <f t="shared" si="3"/>
        <v>171900.85644525566</v>
      </c>
      <c r="I30" s="23">
        <f t="shared" si="1"/>
        <v>6.332888023447758E-2</v>
      </c>
      <c r="J30" s="25">
        <v>2.0500000000000001E-2</v>
      </c>
      <c r="K30" s="25">
        <v>0.1852</v>
      </c>
      <c r="L30" s="25">
        <f t="shared" si="7"/>
        <v>6.7294330084262111E-2</v>
      </c>
      <c r="M30" s="26">
        <v>1460105</v>
      </c>
      <c r="N30" s="26">
        <f>SUM(bdp!AU45:AU48)*1000000</f>
        <v>250993300000</v>
      </c>
      <c r="O30" s="46">
        <f t="shared" si="4"/>
        <v>171900.85644525566</v>
      </c>
      <c r="P30" s="23">
        <f t="shared" si="2"/>
        <v>6.332888023447758E-2</v>
      </c>
      <c r="Q30" s="25">
        <v>2.0500000000000001E-2</v>
      </c>
      <c r="R30" s="25">
        <v>0.1852</v>
      </c>
      <c r="S30" s="25">
        <f t="shared" si="8"/>
        <v>6.7294330084262111E-2</v>
      </c>
      <c r="T30" s="26">
        <v>1460105</v>
      </c>
      <c r="U30" s="26">
        <f>SUM(bdp!AX45:AX48)*1000000</f>
        <v>250993300000</v>
      </c>
      <c r="V30" s="46">
        <f t="shared" si="5"/>
        <v>171900.85644525566</v>
      </c>
      <c r="W30" s="31"/>
      <c r="X30" s="21">
        <v>38352</v>
      </c>
      <c r="Y30" s="36">
        <v>6074.859608769355</v>
      </c>
      <c r="Z30" s="36">
        <v>6074.859608769355</v>
      </c>
      <c r="AA30" s="36">
        <v>6074.859608769355</v>
      </c>
    </row>
    <row r="31" spans="1:27" ht="14.25" customHeight="1">
      <c r="A31" s="21">
        <v>38442</v>
      </c>
      <c r="B31" s="23">
        <f t="shared" si="0"/>
        <v>4.7608096954072643E-2</v>
      </c>
      <c r="C31" s="25">
        <v>2.6750000000000003E-2</v>
      </c>
      <c r="D31" s="25">
        <v>0.19020000000000001</v>
      </c>
      <c r="E31" s="25">
        <f t="shared" si="6"/>
        <v>6.224994065779299E-2</v>
      </c>
      <c r="F31" s="26">
        <v>1456494</v>
      </c>
      <c r="G31" s="26">
        <f>SUM(bdp!AR46:AR49)*1000000</f>
        <v>253750110961.26254</v>
      </c>
      <c r="H31" s="46">
        <f t="shared" si="3"/>
        <v>174219.81207012356</v>
      </c>
      <c r="I31" s="23">
        <f t="shared" si="1"/>
        <v>4.7608096954072643E-2</v>
      </c>
      <c r="J31" s="25">
        <v>2.6750000000000003E-2</v>
      </c>
      <c r="K31" s="25">
        <v>0.19020000000000001</v>
      </c>
      <c r="L31" s="25">
        <f t="shared" si="7"/>
        <v>6.224994065779299E-2</v>
      </c>
      <c r="M31" s="26">
        <v>1456494</v>
      </c>
      <c r="N31" s="26">
        <f>SUM(bdp!AU46:AU49)*1000000</f>
        <v>253750110961.26254</v>
      </c>
      <c r="O31" s="46">
        <f t="shared" si="4"/>
        <v>174219.81207012356</v>
      </c>
      <c r="P31" s="23">
        <f t="shared" si="2"/>
        <v>4.7608096954072643E-2</v>
      </c>
      <c r="Q31" s="25">
        <v>2.6750000000000003E-2</v>
      </c>
      <c r="R31" s="25">
        <v>0.19020000000000001</v>
      </c>
      <c r="S31" s="25">
        <f t="shared" si="8"/>
        <v>6.224994065779299E-2</v>
      </c>
      <c r="T31" s="26">
        <v>1456494</v>
      </c>
      <c r="U31" s="26">
        <f>SUM(bdp!AX46:AX49)*1000000</f>
        <v>253750110961.26254</v>
      </c>
      <c r="V31" s="46">
        <f t="shared" si="5"/>
        <v>174219.81207012356</v>
      </c>
      <c r="W31" s="31"/>
      <c r="X31" s="21">
        <v>38442</v>
      </c>
      <c r="Y31" s="36">
        <v>6119.9140338700026</v>
      </c>
      <c r="Z31" s="36">
        <v>6119.9140338700026</v>
      </c>
      <c r="AA31" s="36">
        <v>6119.9140338700026</v>
      </c>
    </row>
    <row r="32" spans="1:27" ht="14.25" customHeight="1">
      <c r="A32" s="21">
        <v>38533</v>
      </c>
      <c r="B32" s="23">
        <f t="shared" si="0"/>
        <v>5.2845531415469882E-2</v>
      </c>
      <c r="C32" s="25">
        <v>2.775E-2</v>
      </c>
      <c r="D32" s="25">
        <v>0.17180000000000001</v>
      </c>
      <c r="E32" s="25">
        <f t="shared" si="6"/>
        <v>5.0492766646256237E-2</v>
      </c>
      <c r="F32" s="26">
        <v>1507441</v>
      </c>
      <c r="G32" s="26">
        <f>SUM(bdp!AR47:AR50)*1000000</f>
        <v>258771766328.2366</v>
      </c>
      <c r="H32" s="46">
        <f t="shared" si="3"/>
        <v>171662.94822035264</v>
      </c>
      <c r="I32" s="23">
        <f t="shared" si="1"/>
        <v>5.2845531415469882E-2</v>
      </c>
      <c r="J32" s="25">
        <v>2.775E-2</v>
      </c>
      <c r="K32" s="25">
        <v>0.17180000000000001</v>
      </c>
      <c r="L32" s="25">
        <f t="shared" si="7"/>
        <v>5.0492766646256237E-2</v>
      </c>
      <c r="M32" s="26">
        <v>1507441</v>
      </c>
      <c r="N32" s="26">
        <f>SUM(bdp!AU47:AU50)*1000000</f>
        <v>258771766328.2366</v>
      </c>
      <c r="O32" s="46">
        <f t="shared" si="4"/>
        <v>171662.94822035264</v>
      </c>
      <c r="P32" s="23">
        <f t="shared" si="2"/>
        <v>5.2845531415469882E-2</v>
      </c>
      <c r="Q32" s="25">
        <v>2.775E-2</v>
      </c>
      <c r="R32" s="25">
        <v>0.17180000000000001</v>
      </c>
      <c r="S32" s="25">
        <f t="shared" si="8"/>
        <v>5.0492766646256237E-2</v>
      </c>
      <c r="T32" s="26">
        <v>1507441</v>
      </c>
      <c r="U32" s="26">
        <f>SUM(bdp!AX47:AX50)*1000000</f>
        <v>258771766328.2366</v>
      </c>
      <c r="V32" s="46">
        <f t="shared" si="5"/>
        <v>171662.94822035264</v>
      </c>
      <c r="W32" s="31"/>
      <c r="X32" s="21">
        <v>38533</v>
      </c>
      <c r="Y32" s="36">
        <v>6242.1834350905638</v>
      </c>
      <c r="Z32" s="36">
        <v>6242.1834350905638</v>
      </c>
      <c r="AA32" s="36">
        <v>6242.1834350905638</v>
      </c>
    </row>
    <row r="33" spans="1:27" ht="14.25" customHeight="1">
      <c r="A33" s="21">
        <v>38625</v>
      </c>
      <c r="B33" s="23">
        <f t="shared" si="0"/>
        <v>4.4342728707009949E-2</v>
      </c>
      <c r="C33" s="25">
        <v>3.3250000000000002E-2</v>
      </c>
      <c r="D33" s="25">
        <v>0.17</v>
      </c>
      <c r="E33" s="25">
        <f t="shared" si="6"/>
        <v>5.2177488967074304E-2</v>
      </c>
      <c r="F33" s="26">
        <v>1514878</v>
      </c>
      <c r="G33" s="26">
        <f>SUM(bdp!AR48:AR51)*1000000</f>
        <v>264667371424.87726</v>
      </c>
      <c r="H33" s="46">
        <f t="shared" si="3"/>
        <v>174712.00415140842</v>
      </c>
      <c r="I33" s="23">
        <f t="shared" si="1"/>
        <v>4.4342728707009949E-2</v>
      </c>
      <c r="J33" s="25">
        <v>3.3250000000000002E-2</v>
      </c>
      <c r="K33" s="25">
        <v>0.17</v>
      </c>
      <c r="L33" s="25">
        <f t="shared" si="7"/>
        <v>5.2177488967074304E-2</v>
      </c>
      <c r="M33" s="26">
        <v>1514878</v>
      </c>
      <c r="N33" s="26">
        <f>SUM(bdp!AU48:AU51)*1000000</f>
        <v>264667371424.87726</v>
      </c>
      <c r="O33" s="46">
        <f t="shared" si="4"/>
        <v>174712.00415140842</v>
      </c>
      <c r="P33" s="23">
        <f t="shared" si="2"/>
        <v>4.4342728707009949E-2</v>
      </c>
      <c r="Q33" s="25">
        <v>3.3250000000000002E-2</v>
      </c>
      <c r="R33" s="25">
        <v>0.17</v>
      </c>
      <c r="S33" s="25">
        <f t="shared" si="8"/>
        <v>5.2177488967074304E-2</v>
      </c>
      <c r="T33" s="26">
        <v>1514878</v>
      </c>
      <c r="U33" s="26">
        <f>SUM(bdp!AX48:AX51)*1000000</f>
        <v>264667371424.87726</v>
      </c>
      <c r="V33" s="46">
        <f t="shared" si="5"/>
        <v>174712.00415140842</v>
      </c>
      <c r="W33" s="31"/>
      <c r="X33" s="21">
        <v>38625</v>
      </c>
      <c r="Y33" s="36">
        <v>6294.9212006344314</v>
      </c>
      <c r="Z33" s="36">
        <v>6294.9212006344314</v>
      </c>
      <c r="AA33" s="36">
        <v>6294.9212006344314</v>
      </c>
    </row>
    <row r="34" spans="1:27" ht="14.25" customHeight="1">
      <c r="A34" s="21">
        <v>38717</v>
      </c>
      <c r="B34" s="23">
        <f t="shared" si="0"/>
        <v>5.0433574272420678E-2</v>
      </c>
      <c r="C34" s="25">
        <v>3.5500000000000004E-2</v>
      </c>
      <c r="D34" s="25">
        <v>0.17850000000000002</v>
      </c>
      <c r="E34" s="25">
        <f t="shared" si="6"/>
        <v>4.7957082395238215E-2</v>
      </c>
      <c r="F34" s="26">
        <v>1498877</v>
      </c>
      <c r="G34" s="26">
        <f>SUM(bdp!AR49:AR52)*1000000</f>
        <v>270014777451.87988</v>
      </c>
      <c r="H34" s="46">
        <f t="shared" si="3"/>
        <v>180144.71998161281</v>
      </c>
      <c r="I34" s="23">
        <f t="shared" si="1"/>
        <v>5.0433574272420678E-2</v>
      </c>
      <c r="J34" s="25">
        <v>3.5500000000000004E-2</v>
      </c>
      <c r="K34" s="25">
        <v>0.17850000000000002</v>
      </c>
      <c r="L34" s="25">
        <f t="shared" si="7"/>
        <v>4.7957082395238215E-2</v>
      </c>
      <c r="M34" s="26">
        <v>1498877</v>
      </c>
      <c r="N34" s="26">
        <f>SUM(bdp!AU49:AU52)*1000000</f>
        <v>270014777451.87988</v>
      </c>
      <c r="O34" s="46">
        <f t="shared" si="4"/>
        <v>180144.71998161281</v>
      </c>
      <c r="P34" s="23">
        <f t="shared" si="2"/>
        <v>5.0433574272420678E-2</v>
      </c>
      <c r="Q34" s="25">
        <v>3.5500000000000004E-2</v>
      </c>
      <c r="R34" s="25">
        <v>0.17850000000000002</v>
      </c>
      <c r="S34" s="25">
        <f t="shared" si="8"/>
        <v>4.7957082395238215E-2</v>
      </c>
      <c r="T34" s="26">
        <v>1498877</v>
      </c>
      <c r="U34" s="26">
        <f>SUM(bdp!AX49:AX52)*1000000</f>
        <v>270014777451.87988</v>
      </c>
      <c r="V34" s="46">
        <f t="shared" si="5"/>
        <v>180144.71998161281</v>
      </c>
      <c r="W34" s="31"/>
      <c r="X34" s="21">
        <v>38717</v>
      </c>
      <c r="Y34" s="36">
        <v>6381.2364920427526</v>
      </c>
      <c r="Z34" s="36">
        <v>6381.2364920427526</v>
      </c>
      <c r="AA34" s="36">
        <v>6381.2364920427526</v>
      </c>
    </row>
    <row r="35" spans="1:27" ht="14.25" customHeight="1">
      <c r="A35" s="21">
        <v>38807</v>
      </c>
      <c r="B35" s="23">
        <f t="shared" si="0"/>
        <v>5.7728360329998507E-2</v>
      </c>
      <c r="C35" s="25">
        <v>3.3250000000000002E-2</v>
      </c>
      <c r="D35" s="25">
        <v>0.17710000000000001</v>
      </c>
      <c r="E35" s="25">
        <f t="shared" si="6"/>
        <v>5.513486992830452E-2</v>
      </c>
      <c r="F35" s="26">
        <v>1504013</v>
      </c>
      <c r="G35" s="26">
        <f>SUM(bdp!AR50:AR53)*1000000</f>
        <v>276475789446.48914</v>
      </c>
      <c r="H35" s="46">
        <f t="shared" si="3"/>
        <v>183825.39874754348</v>
      </c>
      <c r="I35" s="23">
        <f t="shared" si="1"/>
        <v>5.7728360329998507E-2</v>
      </c>
      <c r="J35" s="25">
        <v>3.3250000000000002E-2</v>
      </c>
      <c r="K35" s="25">
        <v>0.17710000000000001</v>
      </c>
      <c r="L35" s="25">
        <f t="shared" si="7"/>
        <v>5.513486992830452E-2</v>
      </c>
      <c r="M35" s="26">
        <v>1504013</v>
      </c>
      <c r="N35" s="26">
        <f>SUM(bdp!AU50:AU53)*1000000</f>
        <v>276475789446.48914</v>
      </c>
      <c r="O35" s="46">
        <f t="shared" si="4"/>
        <v>183825.39874754348</v>
      </c>
      <c r="P35" s="23">
        <f t="shared" si="2"/>
        <v>5.7728360329998507E-2</v>
      </c>
      <c r="Q35" s="25">
        <v>3.3250000000000002E-2</v>
      </c>
      <c r="R35" s="25">
        <v>0.17710000000000001</v>
      </c>
      <c r="S35" s="25">
        <f t="shared" si="8"/>
        <v>5.513486992830452E-2</v>
      </c>
      <c r="T35" s="26">
        <v>1504013</v>
      </c>
      <c r="U35" s="26">
        <f>SUM(bdp!AX50:AX53)*1000000</f>
        <v>276475789446.48914</v>
      </c>
      <c r="V35" s="46">
        <f t="shared" si="5"/>
        <v>183825.39874754348</v>
      </c>
      <c r="W35" s="31"/>
      <c r="X35" s="21">
        <v>38807</v>
      </c>
      <c r="Y35" s="36">
        <v>6473.2066364058646</v>
      </c>
      <c r="Z35" s="36">
        <v>6473.2066364058646</v>
      </c>
      <c r="AA35" s="36">
        <v>6473.2066364058646</v>
      </c>
    </row>
    <row r="36" spans="1:27" ht="14.25" customHeight="1">
      <c r="A36" s="21">
        <v>38898</v>
      </c>
      <c r="B36" s="23">
        <f t="shared" si="0"/>
        <v>6.0269007667216101E-2</v>
      </c>
      <c r="C36" s="25">
        <v>3.6000000000000004E-2</v>
      </c>
      <c r="D36" s="25">
        <v>0.15590000000000001</v>
      </c>
      <c r="E36" s="25">
        <f t="shared" si="6"/>
        <v>6.3078085733011324E-2</v>
      </c>
      <c r="F36" s="26">
        <v>1547516</v>
      </c>
      <c r="G36" s="26">
        <f>SUM(bdp!AR51:AR54)*1000000</f>
        <v>282407925559.26593</v>
      </c>
      <c r="H36" s="46">
        <f t="shared" si="3"/>
        <v>182491.11838537754</v>
      </c>
      <c r="I36" s="23">
        <f t="shared" si="1"/>
        <v>6.0269007667216101E-2</v>
      </c>
      <c r="J36" s="25">
        <v>3.6000000000000004E-2</v>
      </c>
      <c r="K36" s="25">
        <v>0.15590000000000001</v>
      </c>
      <c r="L36" s="25">
        <f t="shared" si="7"/>
        <v>6.3078085733011324E-2</v>
      </c>
      <c r="M36" s="26">
        <v>1547516</v>
      </c>
      <c r="N36" s="26">
        <f>SUM(bdp!AU51:AU54)*1000000</f>
        <v>282407925559.26593</v>
      </c>
      <c r="O36" s="46">
        <f t="shared" si="4"/>
        <v>182491.11838537754</v>
      </c>
      <c r="P36" s="23">
        <f t="shared" si="2"/>
        <v>6.0269007667216101E-2</v>
      </c>
      <c r="Q36" s="25">
        <v>3.6000000000000004E-2</v>
      </c>
      <c r="R36" s="25">
        <v>0.15590000000000001</v>
      </c>
      <c r="S36" s="25">
        <f t="shared" si="8"/>
        <v>6.3078085733011324E-2</v>
      </c>
      <c r="T36" s="26">
        <v>1547516</v>
      </c>
      <c r="U36" s="26">
        <f>SUM(bdp!AX51:AX54)*1000000</f>
        <v>282407925559.26593</v>
      </c>
      <c r="V36" s="46">
        <f t="shared" si="5"/>
        <v>182491.11838537754</v>
      </c>
      <c r="W36" s="31"/>
      <c r="X36" s="21">
        <v>38898</v>
      </c>
      <c r="Y36" s="36">
        <v>6618.3936364002057</v>
      </c>
      <c r="Z36" s="36">
        <v>6618.3936364002057</v>
      </c>
      <c r="AA36" s="36">
        <v>6618.3936364002057</v>
      </c>
    </row>
    <row r="37" spans="1:27" ht="14.25" customHeight="1">
      <c r="A37" s="21">
        <v>38990</v>
      </c>
      <c r="B37" s="23">
        <f t="shared" si="0"/>
        <v>5.8846614563225597E-2</v>
      </c>
      <c r="C37" s="25">
        <v>3.3500000000000002E-2</v>
      </c>
      <c r="D37" s="25">
        <v>0.1578</v>
      </c>
      <c r="E37" s="25">
        <f t="shared" si="6"/>
        <v>6.2164433550670584E-2</v>
      </c>
      <c r="F37" s="26">
        <v>1553890</v>
      </c>
      <c r="G37" s="26">
        <f>SUM(bdp!AR52:AR55)*1000000</f>
        <v>288359837723.40814</v>
      </c>
      <c r="H37" s="46">
        <f t="shared" si="3"/>
        <v>185572.87692398313</v>
      </c>
      <c r="I37" s="23">
        <f t="shared" si="1"/>
        <v>5.8846614563225597E-2</v>
      </c>
      <c r="J37" s="25">
        <v>3.3500000000000002E-2</v>
      </c>
      <c r="K37" s="25">
        <v>0.1578</v>
      </c>
      <c r="L37" s="25">
        <f t="shared" si="7"/>
        <v>6.2164433550670584E-2</v>
      </c>
      <c r="M37" s="26">
        <v>1553890</v>
      </c>
      <c r="N37" s="26">
        <f>SUM(bdp!AU52:AU55)*1000000</f>
        <v>288359837723.40814</v>
      </c>
      <c r="O37" s="46">
        <f t="shared" si="4"/>
        <v>185572.87692398313</v>
      </c>
      <c r="P37" s="23">
        <f t="shared" si="2"/>
        <v>5.8846614563225597E-2</v>
      </c>
      <c r="Q37" s="25">
        <v>3.3500000000000002E-2</v>
      </c>
      <c r="R37" s="25">
        <v>0.1578</v>
      </c>
      <c r="S37" s="25">
        <f t="shared" si="8"/>
        <v>6.2164433550670584E-2</v>
      </c>
      <c r="T37" s="26">
        <v>1553890</v>
      </c>
      <c r="U37" s="26">
        <f>SUM(bdp!AX52:AX55)*1000000</f>
        <v>288359837723.40814</v>
      </c>
      <c r="V37" s="46">
        <f t="shared" si="5"/>
        <v>185572.87692398313</v>
      </c>
      <c r="W37" s="31"/>
      <c r="X37" s="21">
        <v>38990</v>
      </c>
      <c r="Y37" s="36">
        <v>6665.3560022340425</v>
      </c>
      <c r="Z37" s="36">
        <v>6665.3560022340425</v>
      </c>
      <c r="AA37" s="36">
        <v>6665.3560022340425</v>
      </c>
    </row>
    <row r="38" spans="1:27" ht="14.25" customHeight="1">
      <c r="A38" s="21">
        <v>39082</v>
      </c>
      <c r="B38" s="23">
        <f t="shared" si="0"/>
        <v>7.9200915330848387E-2</v>
      </c>
      <c r="C38" s="25">
        <v>2.9500000000000002E-2</v>
      </c>
      <c r="D38" s="25">
        <v>0.16649999999999998</v>
      </c>
      <c r="E38" s="25">
        <f t="shared" si="6"/>
        <v>6.2620258308408561E-2</v>
      </c>
      <c r="F38" s="26">
        <v>1538170</v>
      </c>
      <c r="G38" s="26">
        <f>SUM(bdp!AR53:AR56)*1000000</f>
        <v>294444851939.97632</v>
      </c>
      <c r="H38" s="46">
        <f t="shared" si="3"/>
        <v>191425.42887975732</v>
      </c>
      <c r="I38" s="23">
        <f t="shared" si="1"/>
        <v>7.9200915330848387E-2</v>
      </c>
      <c r="J38" s="25">
        <v>2.9500000000000002E-2</v>
      </c>
      <c r="K38" s="25">
        <v>0.16649999999999998</v>
      </c>
      <c r="L38" s="25">
        <f t="shared" si="7"/>
        <v>6.2620258308408561E-2</v>
      </c>
      <c r="M38" s="26">
        <v>1538170</v>
      </c>
      <c r="N38" s="26">
        <f>SUM(bdp!AU53:AU56)*1000000</f>
        <v>294444851939.97632</v>
      </c>
      <c r="O38" s="46">
        <f t="shared" si="4"/>
        <v>191425.42887975732</v>
      </c>
      <c r="P38" s="23">
        <f t="shared" si="2"/>
        <v>7.9200915330848387E-2</v>
      </c>
      <c r="Q38" s="25">
        <v>2.9500000000000002E-2</v>
      </c>
      <c r="R38" s="25">
        <v>0.16649999999999998</v>
      </c>
      <c r="S38" s="25">
        <f t="shared" si="8"/>
        <v>6.2620258308408561E-2</v>
      </c>
      <c r="T38" s="26">
        <v>1538170</v>
      </c>
      <c r="U38" s="26">
        <f>SUM(bdp!AX53:AX56)*1000000</f>
        <v>294444851939.97632</v>
      </c>
      <c r="V38" s="46">
        <f t="shared" si="5"/>
        <v>191425.42887975732</v>
      </c>
      <c r="W38" s="31"/>
      <c r="X38" s="21">
        <v>39082</v>
      </c>
      <c r="Y38" s="36">
        <v>6886.6362631551501</v>
      </c>
      <c r="Z38" s="36">
        <v>6886.6362631551501</v>
      </c>
      <c r="AA38" s="36">
        <v>6886.6362631551501</v>
      </c>
    </row>
    <row r="39" spans="1:27" ht="14.25" customHeight="1">
      <c r="A39" s="21">
        <v>39172</v>
      </c>
      <c r="B39" s="23">
        <f t="shared" si="0"/>
        <v>6.3324469093005042E-2</v>
      </c>
      <c r="C39" s="25">
        <v>2.6500000000000003E-2</v>
      </c>
      <c r="D39" s="25">
        <v>0.16320000000000001</v>
      </c>
      <c r="E39" s="25">
        <f t="shared" si="6"/>
        <v>5.9931355708009004E-2</v>
      </c>
      <c r="F39" s="26">
        <v>1545187</v>
      </c>
      <c r="G39" s="26">
        <f>SUM(bdp!AR54:AR57)*1000000</f>
        <v>301067795357.80408</v>
      </c>
      <c r="H39" s="46">
        <f t="shared" si="3"/>
        <v>194842.30410804911</v>
      </c>
      <c r="I39" s="23">
        <f t="shared" si="1"/>
        <v>6.3324469093005042E-2</v>
      </c>
      <c r="J39" s="25">
        <v>2.6500000000000003E-2</v>
      </c>
      <c r="K39" s="25">
        <v>0.16320000000000001</v>
      </c>
      <c r="L39" s="25">
        <f t="shared" si="7"/>
        <v>5.9931355708009004E-2</v>
      </c>
      <c r="M39" s="26">
        <v>1545187</v>
      </c>
      <c r="N39" s="26">
        <f>SUM(bdp!AU54:AU57)*1000000</f>
        <v>301067795357.80408</v>
      </c>
      <c r="O39" s="46">
        <f t="shared" si="4"/>
        <v>194842.30410804911</v>
      </c>
      <c r="P39" s="23">
        <f t="shared" si="2"/>
        <v>6.3324469093005042E-2</v>
      </c>
      <c r="Q39" s="25">
        <v>2.6500000000000003E-2</v>
      </c>
      <c r="R39" s="25">
        <v>0.16320000000000001</v>
      </c>
      <c r="S39" s="25">
        <f t="shared" si="8"/>
        <v>5.9931355708009004E-2</v>
      </c>
      <c r="T39" s="26">
        <v>1545187</v>
      </c>
      <c r="U39" s="26">
        <f>SUM(bdp!AX54:AX57)*1000000</f>
        <v>301067795357.80408</v>
      </c>
      <c r="V39" s="46">
        <f t="shared" si="5"/>
        <v>194842.30410804911</v>
      </c>
      <c r="W39" s="31"/>
      <c r="X39" s="21">
        <v>39172</v>
      </c>
      <c r="Y39" s="36">
        <v>6883.119009985583</v>
      </c>
      <c r="Z39" s="36">
        <v>6883.119009985583</v>
      </c>
      <c r="AA39" s="36">
        <v>6883.119009985583</v>
      </c>
    </row>
    <row r="40" spans="1:27" ht="14.25" customHeight="1">
      <c r="A40" s="21">
        <v>39263</v>
      </c>
      <c r="B40" s="23">
        <f t="shared" si="0"/>
        <v>4.9892829099720926E-2</v>
      </c>
      <c r="C40" s="25">
        <v>2.1250000000000002E-2</v>
      </c>
      <c r="D40" s="25">
        <v>0.1399</v>
      </c>
      <c r="E40" s="25">
        <f t="shared" si="6"/>
        <v>6.3181784337990488E-2</v>
      </c>
      <c r="F40" s="26">
        <v>1589509</v>
      </c>
      <c r="G40" s="26">
        <f>SUM(bdp!AR55:AR58)*1000000</f>
        <v>308398495839.23425</v>
      </c>
      <c r="H40" s="46">
        <f t="shared" si="3"/>
        <v>194021.23287080115</v>
      </c>
      <c r="I40" s="23">
        <f t="shared" si="1"/>
        <v>4.9892829099720926E-2</v>
      </c>
      <c r="J40" s="25">
        <v>2.1250000000000002E-2</v>
      </c>
      <c r="K40" s="25">
        <v>0.1399</v>
      </c>
      <c r="L40" s="25">
        <f t="shared" si="7"/>
        <v>6.3181784337990488E-2</v>
      </c>
      <c r="M40" s="26">
        <v>1589509</v>
      </c>
      <c r="N40" s="26">
        <f>SUM(bdp!AU55:AU58)*1000000</f>
        <v>308398495839.23425</v>
      </c>
      <c r="O40" s="46">
        <f t="shared" si="4"/>
        <v>194021.23287080115</v>
      </c>
      <c r="P40" s="23">
        <f t="shared" si="2"/>
        <v>4.9892829099720926E-2</v>
      </c>
      <c r="Q40" s="25">
        <v>2.1250000000000002E-2</v>
      </c>
      <c r="R40" s="25">
        <v>0.1399</v>
      </c>
      <c r="S40" s="25">
        <f t="shared" si="8"/>
        <v>6.3181784337990488E-2</v>
      </c>
      <c r="T40" s="26">
        <v>1589509</v>
      </c>
      <c r="U40" s="26">
        <f>SUM(bdp!AX55:AX58)*1000000</f>
        <v>308398495839.23425</v>
      </c>
      <c r="V40" s="46">
        <f t="shared" si="5"/>
        <v>194021.23287080115</v>
      </c>
      <c r="W40" s="31"/>
      <c r="X40" s="21">
        <v>39263</v>
      </c>
      <c r="Y40" s="36">
        <v>6948.6040190158019</v>
      </c>
      <c r="Z40" s="36">
        <v>6948.6040190158019</v>
      </c>
      <c r="AA40" s="36">
        <v>6948.6040190158019</v>
      </c>
    </row>
    <row r="41" spans="1:27" ht="14.25" customHeight="1">
      <c r="A41" s="21">
        <v>39355</v>
      </c>
      <c r="B41" s="23">
        <f t="shared" si="0"/>
        <v>6.2322299451748053E-2</v>
      </c>
      <c r="C41" s="25">
        <v>2.4E-2</v>
      </c>
      <c r="D41" s="25">
        <v>0.13789999999999999</v>
      </c>
      <c r="E41" s="25">
        <f t="shared" si="6"/>
        <v>6.6281186180543461E-2</v>
      </c>
      <c r="F41" s="26">
        <v>1596073</v>
      </c>
      <c r="G41" s="26">
        <f>SUM(bdp!AR56:AR59)*1000000</f>
        <v>315819540977.10242</v>
      </c>
      <c r="H41" s="46">
        <f t="shared" si="3"/>
        <v>197872.86732944072</v>
      </c>
      <c r="I41" s="23">
        <f t="shared" si="1"/>
        <v>6.2322299451748053E-2</v>
      </c>
      <c r="J41" s="25">
        <v>2.4E-2</v>
      </c>
      <c r="K41" s="25">
        <v>0.13789999999999999</v>
      </c>
      <c r="L41" s="25">
        <f t="shared" si="7"/>
        <v>6.6281186180543461E-2</v>
      </c>
      <c r="M41" s="26">
        <v>1596073</v>
      </c>
      <c r="N41" s="26">
        <f>SUM(bdp!AU56:AU59)*1000000</f>
        <v>315819540977.10242</v>
      </c>
      <c r="O41" s="46">
        <f t="shared" si="4"/>
        <v>197872.86732944072</v>
      </c>
      <c r="P41" s="23">
        <f t="shared" si="2"/>
        <v>6.2322299451748053E-2</v>
      </c>
      <c r="Q41" s="25">
        <v>2.4E-2</v>
      </c>
      <c r="R41" s="25">
        <v>0.13789999999999999</v>
      </c>
      <c r="S41" s="25">
        <f t="shared" si="8"/>
        <v>6.6281186180543461E-2</v>
      </c>
      <c r="T41" s="26">
        <v>1596073</v>
      </c>
      <c r="U41" s="26">
        <f>SUM(bdp!AX56:AX59)*1000000</f>
        <v>315819540977.10242</v>
      </c>
      <c r="V41" s="46">
        <f t="shared" si="5"/>
        <v>197872.86732944072</v>
      </c>
      <c r="W41" s="31"/>
      <c r="X41" s="21">
        <v>39355</v>
      </c>
      <c r="Y41" s="36">
        <v>7080.7563149577791</v>
      </c>
      <c r="Z41" s="36">
        <v>7080.7563149577791</v>
      </c>
      <c r="AA41" s="36">
        <v>7080.7563149577791</v>
      </c>
    </row>
    <row r="42" spans="1:27" ht="14.25" customHeight="1">
      <c r="A42" s="21">
        <v>39447</v>
      </c>
      <c r="B42" s="23">
        <f t="shared" si="0"/>
        <v>6.1425114097440225E-2</v>
      </c>
      <c r="C42" s="25">
        <v>3.3500000000000002E-2</v>
      </c>
      <c r="D42" s="25">
        <v>0.14380000000000001</v>
      </c>
      <c r="E42" s="25">
        <f t="shared" si="6"/>
        <v>6.7610024330467589E-2</v>
      </c>
      <c r="F42" s="26">
        <v>1579463</v>
      </c>
      <c r="G42" s="26">
        <f>SUM(bdp!AR57:AR60)*1000000</f>
        <v>322791231259.84198</v>
      </c>
      <c r="H42" s="46">
        <f t="shared" si="3"/>
        <v>204367.7067837879</v>
      </c>
      <c r="I42" s="23">
        <f t="shared" si="1"/>
        <v>6.1425114097440225E-2</v>
      </c>
      <c r="J42" s="25">
        <v>3.3500000000000002E-2</v>
      </c>
      <c r="K42" s="25">
        <v>0.14380000000000001</v>
      </c>
      <c r="L42" s="25">
        <f t="shared" si="7"/>
        <v>6.7610024330467589E-2</v>
      </c>
      <c r="M42" s="26">
        <v>1579463</v>
      </c>
      <c r="N42" s="26">
        <f>SUM(bdp!AU57:AU60)*1000000</f>
        <v>322791231259.84198</v>
      </c>
      <c r="O42" s="46">
        <f t="shared" si="4"/>
        <v>204367.7067837879</v>
      </c>
      <c r="P42" s="23">
        <f t="shared" si="2"/>
        <v>6.1425114097440225E-2</v>
      </c>
      <c r="Q42" s="25">
        <v>3.3500000000000002E-2</v>
      </c>
      <c r="R42" s="25">
        <v>0.14380000000000001</v>
      </c>
      <c r="S42" s="25">
        <f t="shared" si="8"/>
        <v>6.7610024330467589E-2</v>
      </c>
      <c r="T42" s="26">
        <v>1579463</v>
      </c>
      <c r="U42" s="26">
        <f>SUM(bdp!AX57:AX60)*1000000</f>
        <v>322791231259.84198</v>
      </c>
      <c r="V42" s="46">
        <f t="shared" si="5"/>
        <v>204367.7067837879</v>
      </c>
      <c r="W42" s="31"/>
      <c r="X42" s="21">
        <v>39447</v>
      </c>
      <c r="Y42" s="36">
        <v>7309.6486813670244</v>
      </c>
      <c r="Z42" s="36">
        <v>7309.6486813670244</v>
      </c>
      <c r="AA42" s="36">
        <v>7309.6486813670244</v>
      </c>
    </row>
    <row r="43" spans="1:27" ht="14.25" customHeight="1">
      <c r="A43" s="21">
        <v>39538</v>
      </c>
      <c r="B43" s="23">
        <f t="shared" si="0"/>
        <v>7.4754357187970744E-2</v>
      </c>
      <c r="C43" s="25">
        <v>4.3249999999999997E-2</v>
      </c>
      <c r="D43" s="25">
        <v>0.1426</v>
      </c>
      <c r="E43" s="25">
        <f t="shared" si="6"/>
        <v>6.2818525739089415E-2</v>
      </c>
      <c r="F43" s="26">
        <v>1587050</v>
      </c>
      <c r="G43" s="26">
        <f>SUM(bdp!AR58:AR61)*1000000</f>
        <v>328649504611.23035</v>
      </c>
      <c r="H43" s="46">
        <f t="shared" si="3"/>
        <v>207082.0104037241</v>
      </c>
      <c r="I43" s="23">
        <f t="shared" si="1"/>
        <v>7.4754357187970744E-2</v>
      </c>
      <c r="J43" s="25">
        <v>4.3249999999999997E-2</v>
      </c>
      <c r="K43" s="25">
        <v>0.1426</v>
      </c>
      <c r="L43" s="25">
        <f t="shared" si="7"/>
        <v>6.2818525739089415E-2</v>
      </c>
      <c r="M43" s="26">
        <v>1587050</v>
      </c>
      <c r="N43" s="26">
        <f>SUM(bdp!AU58:AU61)*1000000</f>
        <v>328649504611.23035</v>
      </c>
      <c r="O43" s="46">
        <f t="shared" si="4"/>
        <v>207082.0104037241</v>
      </c>
      <c r="P43" s="23">
        <f t="shared" si="2"/>
        <v>7.4754357187970744E-2</v>
      </c>
      <c r="Q43" s="25">
        <v>4.3249999999999997E-2</v>
      </c>
      <c r="R43" s="25">
        <v>0.1426</v>
      </c>
      <c r="S43" s="25">
        <f t="shared" si="8"/>
        <v>6.2818525739089415E-2</v>
      </c>
      <c r="T43" s="26">
        <v>1587050</v>
      </c>
      <c r="U43" s="26">
        <f>SUM(bdp!AX58:AX61)*1000000</f>
        <v>328649504611.23035</v>
      </c>
      <c r="V43" s="46">
        <f t="shared" si="5"/>
        <v>207082.0104037241</v>
      </c>
      <c r="W43" s="31"/>
      <c r="X43" s="21">
        <v>39538</v>
      </c>
      <c r="Y43" s="36">
        <v>7397.6621470253567</v>
      </c>
      <c r="Z43" s="36">
        <v>7397.6621470253567</v>
      </c>
      <c r="AA43" s="36">
        <v>7397.6621470253567</v>
      </c>
    </row>
    <row r="44" spans="1:27" ht="14.25" customHeight="1">
      <c r="A44" s="21">
        <v>39629</v>
      </c>
      <c r="B44" s="23">
        <f t="shared" si="0"/>
        <v>8.4432599386018437E-2</v>
      </c>
      <c r="C44" s="25">
        <v>5.7499999999999996E-2</v>
      </c>
      <c r="D44" s="25">
        <v>0.12369999999999999</v>
      </c>
      <c r="E44" s="25">
        <f t="shared" si="6"/>
        <v>6.1450069151430808E-2</v>
      </c>
      <c r="F44" s="26">
        <v>1630463</v>
      </c>
      <c r="G44" s="26">
        <f>SUM(bdp!AR59:AR62)*1000000</f>
        <v>335783829210.55414</v>
      </c>
      <c r="H44" s="46">
        <f t="shared" si="3"/>
        <v>205943.85104755775</v>
      </c>
      <c r="I44" s="23">
        <f t="shared" si="1"/>
        <v>8.4432599386018437E-2</v>
      </c>
      <c r="J44" s="25">
        <v>5.7499999999999996E-2</v>
      </c>
      <c r="K44" s="25">
        <v>0.12369999999999999</v>
      </c>
      <c r="L44" s="25">
        <f t="shared" si="7"/>
        <v>6.1450069151430808E-2</v>
      </c>
      <c r="M44" s="26">
        <v>1630463</v>
      </c>
      <c r="N44" s="26">
        <f>SUM(bdp!AU59:AU62)*1000000</f>
        <v>335783829210.55414</v>
      </c>
      <c r="O44" s="46">
        <f t="shared" si="4"/>
        <v>205943.85104755775</v>
      </c>
      <c r="P44" s="23">
        <f t="shared" si="2"/>
        <v>8.4432599386018437E-2</v>
      </c>
      <c r="Q44" s="25">
        <v>5.7499999999999996E-2</v>
      </c>
      <c r="R44" s="25">
        <v>0.12369999999999999</v>
      </c>
      <c r="S44" s="25">
        <f t="shared" si="8"/>
        <v>6.1450069151430808E-2</v>
      </c>
      <c r="T44" s="26">
        <v>1630463</v>
      </c>
      <c r="U44" s="26">
        <f>SUM(bdp!AX59:AX62)*1000000</f>
        <v>335783829210.55414</v>
      </c>
      <c r="V44" s="46">
        <f t="shared" si="5"/>
        <v>205943.85104755775</v>
      </c>
      <c r="W44" s="31"/>
      <c r="X44" s="21">
        <v>39629</v>
      </c>
      <c r="Y44" s="36">
        <v>7535.2927184454402</v>
      </c>
      <c r="Z44" s="36">
        <v>7535.2927184454402</v>
      </c>
      <c r="AA44" s="36">
        <v>7535.2927184454402</v>
      </c>
    </row>
    <row r="45" spans="1:27" ht="14.25" customHeight="1">
      <c r="A45" s="21">
        <v>39721</v>
      </c>
      <c r="B45" s="23">
        <f t="shared" si="0"/>
        <v>6.9229336317290446E-2</v>
      </c>
      <c r="C45" s="25">
        <v>6.3750000000000001E-2</v>
      </c>
      <c r="D45" s="25">
        <v>0.12369999999999999</v>
      </c>
      <c r="E45" s="25">
        <f t="shared" si="6"/>
        <v>6.3829327603926123E-2</v>
      </c>
      <c r="F45" s="26">
        <v>1629857</v>
      </c>
      <c r="G45" s="26">
        <f>SUM(bdp!AR60:AR63)*1000000</f>
        <v>343089721902.2934</v>
      </c>
      <c r="H45" s="46">
        <f t="shared" si="3"/>
        <v>210502.95940213982</v>
      </c>
      <c r="I45" s="23">
        <f t="shared" si="1"/>
        <v>6.9229336317290446E-2</v>
      </c>
      <c r="J45" s="25">
        <v>6.3750000000000001E-2</v>
      </c>
      <c r="K45" s="25">
        <v>0.12369999999999999</v>
      </c>
      <c r="L45" s="25">
        <f t="shared" si="7"/>
        <v>6.3829327603926123E-2</v>
      </c>
      <c r="M45" s="26">
        <v>1629857</v>
      </c>
      <c r="N45" s="26">
        <f>SUM(bdp!AU60:AU63)*1000000</f>
        <v>343089721902.2934</v>
      </c>
      <c r="O45" s="46">
        <f t="shared" si="4"/>
        <v>210502.95940213982</v>
      </c>
      <c r="P45" s="23">
        <f t="shared" si="2"/>
        <v>6.9229336317290446E-2</v>
      </c>
      <c r="Q45" s="25">
        <v>6.3750000000000001E-2</v>
      </c>
      <c r="R45" s="25">
        <v>0.12369999999999999</v>
      </c>
      <c r="S45" s="25">
        <f t="shared" si="8"/>
        <v>6.3829327603926123E-2</v>
      </c>
      <c r="T45" s="26">
        <v>1629857</v>
      </c>
      <c r="U45" s="26">
        <f>SUM(bdp!AX60:AX63)*1000000</f>
        <v>343089721902.2934</v>
      </c>
      <c r="V45" s="46">
        <f t="shared" si="5"/>
        <v>210502.95940213982</v>
      </c>
      <c r="W45" s="31"/>
      <c r="X45" s="21">
        <v>39721</v>
      </c>
      <c r="Y45" s="36">
        <v>7570.9523752667692</v>
      </c>
      <c r="Z45" s="36">
        <v>7570.9523752667692</v>
      </c>
      <c r="AA45" s="36">
        <v>7570.9523752667692</v>
      </c>
    </row>
    <row r="46" spans="1:27" ht="14.25" customHeight="1">
      <c r="A46" s="21">
        <v>39813</v>
      </c>
      <c r="B46" s="23">
        <f t="shared" si="0"/>
        <v>5.6602970440929878E-2</v>
      </c>
      <c r="C46" s="25">
        <v>5.6500000000000002E-2</v>
      </c>
      <c r="D46" s="25">
        <v>0.1348</v>
      </c>
      <c r="E46" s="25">
        <f t="shared" si="6"/>
        <v>5.7186565739350437E-2</v>
      </c>
      <c r="F46" s="26">
        <v>1604848</v>
      </c>
      <c r="G46" s="26">
        <f>SUM(bdp!AR61:AR64)*1000000</f>
        <v>346735104174.16016</v>
      </c>
      <c r="H46" s="46">
        <f t="shared" si="3"/>
        <v>216054.79408277926</v>
      </c>
      <c r="I46" s="23">
        <f t="shared" si="1"/>
        <v>5.6602970440929878E-2</v>
      </c>
      <c r="J46" s="25">
        <v>5.6500000000000002E-2</v>
      </c>
      <c r="K46" s="25">
        <v>0.1348</v>
      </c>
      <c r="L46" s="25">
        <f t="shared" si="7"/>
        <v>5.7186565739350437E-2</v>
      </c>
      <c r="M46" s="26">
        <v>1604848</v>
      </c>
      <c r="N46" s="26">
        <f>SUM(bdp!AU61:AU64)*1000000</f>
        <v>346735104174.16016</v>
      </c>
      <c r="O46" s="46">
        <f t="shared" si="4"/>
        <v>216054.79408277926</v>
      </c>
      <c r="P46" s="23">
        <f t="shared" si="2"/>
        <v>5.6602970440929878E-2</v>
      </c>
      <c r="Q46" s="25">
        <v>5.6500000000000002E-2</v>
      </c>
      <c r="R46" s="25">
        <v>0.1348</v>
      </c>
      <c r="S46" s="25">
        <f t="shared" si="8"/>
        <v>5.7186565739350437E-2</v>
      </c>
      <c r="T46" s="26">
        <v>1604848</v>
      </c>
      <c r="U46" s="26">
        <f>SUM(bdp!AX61:AX64)*1000000</f>
        <v>346735104174.16016</v>
      </c>
      <c r="V46" s="46">
        <f t="shared" si="5"/>
        <v>216054.79408277926</v>
      </c>
      <c r="W46" s="31"/>
      <c r="X46" s="21">
        <v>39813</v>
      </c>
      <c r="Y46" s="36">
        <v>7723.3965096120246</v>
      </c>
      <c r="Z46" s="36">
        <v>7723.3965096120246</v>
      </c>
      <c r="AA46" s="36">
        <v>7723.3965096120246</v>
      </c>
    </row>
    <row r="47" spans="1:27" ht="14.25" customHeight="1">
      <c r="A47" s="21">
        <v>39903</v>
      </c>
      <c r="B47" s="23">
        <f t="shared" si="0"/>
        <v>4.6324415493260274E-2</v>
      </c>
      <c r="C47" s="25">
        <v>5.1750000000000004E-2</v>
      </c>
      <c r="D47" s="25">
        <v>0.15079999999999999</v>
      </c>
      <c r="E47" s="25">
        <f t="shared" si="6"/>
        <v>5.0505337058741162E-2</v>
      </c>
      <c r="F47" s="26">
        <v>1578709</v>
      </c>
      <c r="G47" s="26">
        <f>SUM(bdp!AR62:AR65)*1000000</f>
        <v>343433551160.52106</v>
      </c>
      <c r="H47" s="46">
        <f t="shared" si="3"/>
        <v>217540.75713796593</v>
      </c>
      <c r="I47" s="23">
        <f t="shared" si="1"/>
        <v>4.6324415493260274E-2</v>
      </c>
      <c r="J47" s="25">
        <v>5.1750000000000004E-2</v>
      </c>
      <c r="K47" s="25">
        <v>0.15079999999999999</v>
      </c>
      <c r="L47" s="25">
        <f t="shared" si="7"/>
        <v>5.0505337058741162E-2</v>
      </c>
      <c r="M47" s="26">
        <v>1578709</v>
      </c>
      <c r="N47" s="26">
        <f>SUM(bdp!AU62:AU65)*1000000</f>
        <v>343433551160.52106</v>
      </c>
      <c r="O47" s="46">
        <f t="shared" si="4"/>
        <v>217540.75713796593</v>
      </c>
      <c r="P47" s="23">
        <f t="shared" si="2"/>
        <v>4.6324415493260274E-2</v>
      </c>
      <c r="Q47" s="25">
        <v>5.1750000000000004E-2</v>
      </c>
      <c r="R47" s="25">
        <v>0.15079999999999999</v>
      </c>
      <c r="S47" s="25">
        <f t="shared" si="8"/>
        <v>5.0505337058741162E-2</v>
      </c>
      <c r="T47" s="26">
        <v>1578709</v>
      </c>
      <c r="U47" s="26">
        <f>SUM(bdp!AX62:AX65)*1000000</f>
        <v>343433551160.52106</v>
      </c>
      <c r="V47" s="46">
        <f t="shared" si="5"/>
        <v>217540.75713796593</v>
      </c>
      <c r="W47" s="31"/>
      <c r="X47" s="21">
        <v>39903</v>
      </c>
      <c r="Y47" s="36">
        <v>7740.3545220029227</v>
      </c>
      <c r="Z47" s="36">
        <v>7740.3545220029227</v>
      </c>
      <c r="AA47" s="36">
        <v>7740.3545220029227</v>
      </c>
    </row>
    <row r="48" spans="1:27" ht="14.25" customHeight="1">
      <c r="A48" s="21">
        <v>39994</v>
      </c>
      <c r="B48" s="23">
        <f t="shared" si="0"/>
        <v>2.4761213995123654E-2</v>
      </c>
      <c r="C48" s="25">
        <v>3.7999999999999999E-2</v>
      </c>
      <c r="D48" s="25">
        <v>0.1401</v>
      </c>
      <c r="E48" s="25">
        <f t="shared" si="6"/>
        <v>3.204761615727536E-2</v>
      </c>
      <c r="F48" s="26">
        <v>1596346</v>
      </c>
      <c r="G48" s="26">
        <f>SUM(bdp!AR63:AR66)*1000000</f>
        <v>339293541591.01147</v>
      </c>
      <c r="H48" s="46">
        <f t="shared" si="3"/>
        <v>212543.86053588099</v>
      </c>
      <c r="I48" s="23">
        <f t="shared" si="1"/>
        <v>2.4761213995123654E-2</v>
      </c>
      <c r="J48" s="25">
        <v>3.7999999999999999E-2</v>
      </c>
      <c r="K48" s="25">
        <v>0.1401</v>
      </c>
      <c r="L48" s="25">
        <f t="shared" si="7"/>
        <v>3.204761615727536E-2</v>
      </c>
      <c r="M48" s="26">
        <v>1596346</v>
      </c>
      <c r="N48" s="26">
        <f>SUM(bdp!AU63:AU66)*1000000</f>
        <v>339293541591.01147</v>
      </c>
      <c r="O48" s="46">
        <f t="shared" si="4"/>
        <v>212543.86053588099</v>
      </c>
      <c r="P48" s="23">
        <f t="shared" si="2"/>
        <v>2.4761213995123654E-2</v>
      </c>
      <c r="Q48" s="25">
        <v>3.7999999999999999E-2</v>
      </c>
      <c r="R48" s="25">
        <v>0.1401</v>
      </c>
      <c r="S48" s="25">
        <f t="shared" si="8"/>
        <v>3.204761615727536E-2</v>
      </c>
      <c r="T48" s="26">
        <v>1596346</v>
      </c>
      <c r="U48" s="26">
        <f>SUM(bdp!AX63:AX66)*1000000</f>
        <v>339293541591.01147</v>
      </c>
      <c r="V48" s="46">
        <f t="shared" si="5"/>
        <v>212543.86053588099</v>
      </c>
      <c r="W48" s="31"/>
      <c r="X48" s="21">
        <v>39994</v>
      </c>
      <c r="Y48" s="36">
        <v>7721.8757139627651</v>
      </c>
      <c r="Z48" s="36">
        <v>7721.8757139627651</v>
      </c>
      <c r="AA48" s="36">
        <v>7721.8757139627651</v>
      </c>
    </row>
    <row r="49" spans="1:27" ht="14.25" customHeight="1">
      <c r="A49" s="21">
        <v>40086</v>
      </c>
      <c r="B49" s="23">
        <f t="shared" si="0"/>
        <v>1.6202029416767294E-2</v>
      </c>
      <c r="C49" s="25">
        <v>2.4500000000000001E-2</v>
      </c>
      <c r="D49" s="25">
        <v>0.1479</v>
      </c>
      <c r="E49" s="25">
        <f t="shared" si="6"/>
        <v>4.5109168707759828E-3</v>
      </c>
      <c r="F49" s="26">
        <v>1575219</v>
      </c>
      <c r="G49" s="26">
        <f>SUM(bdp!AR64:AR67)*1000000</f>
        <v>333084028288.10687</v>
      </c>
      <c r="H49" s="46">
        <f t="shared" si="3"/>
        <v>211452.5207530552</v>
      </c>
      <c r="I49" s="23">
        <f t="shared" si="1"/>
        <v>1.6202029416767294E-2</v>
      </c>
      <c r="J49" s="25">
        <v>2.4500000000000001E-2</v>
      </c>
      <c r="K49" s="25">
        <v>0.1479</v>
      </c>
      <c r="L49" s="25">
        <f t="shared" si="7"/>
        <v>4.5109168707759828E-3</v>
      </c>
      <c r="M49" s="26">
        <v>1575219</v>
      </c>
      <c r="N49" s="26">
        <f>SUM(bdp!AU64:AU67)*1000000</f>
        <v>333084028288.10687</v>
      </c>
      <c r="O49" s="46">
        <f t="shared" si="4"/>
        <v>211452.5207530552</v>
      </c>
      <c r="P49" s="23">
        <f t="shared" si="2"/>
        <v>1.6202029416767294E-2</v>
      </c>
      <c r="Q49" s="25">
        <v>2.4500000000000001E-2</v>
      </c>
      <c r="R49" s="25">
        <v>0.1479</v>
      </c>
      <c r="S49" s="25">
        <f t="shared" si="8"/>
        <v>4.5109168707759828E-3</v>
      </c>
      <c r="T49" s="26">
        <v>1575219</v>
      </c>
      <c r="U49" s="26">
        <f>SUM(bdp!AX64:AX67)*1000000</f>
        <v>333084028288.10687</v>
      </c>
      <c r="V49" s="46">
        <f t="shared" si="5"/>
        <v>211452.5207530552</v>
      </c>
      <c r="W49" s="31"/>
      <c r="X49" s="21">
        <v>40086</v>
      </c>
      <c r="Y49" s="36">
        <v>7693.6171683637858</v>
      </c>
      <c r="Z49" s="36">
        <v>7693.6171683637858</v>
      </c>
      <c r="AA49" s="36">
        <v>7693.6171683637858</v>
      </c>
    </row>
    <row r="50" spans="1:27" ht="14.25" customHeight="1">
      <c r="A50" s="21">
        <v>40178</v>
      </c>
      <c r="B50" s="23">
        <f t="shared" si="0"/>
        <v>-8.1159233077969795E-3</v>
      </c>
      <c r="C50" s="25">
        <v>2.1999999999999999E-2</v>
      </c>
      <c r="D50" s="25">
        <v>0.16739999999999999</v>
      </c>
      <c r="E50" s="25">
        <f t="shared" si="6"/>
        <v>4.7275239902111466E-4</v>
      </c>
      <c r="F50" s="26">
        <v>1530233</v>
      </c>
      <c r="G50" s="26">
        <f>SUM(bdp!AR65:AR68)*1000000</f>
        <v>330770474358.39264</v>
      </c>
      <c r="H50" s="46">
        <f t="shared" si="3"/>
        <v>216156.93450500193</v>
      </c>
      <c r="I50" s="23">
        <f t="shared" si="1"/>
        <v>-8.1159233077969795E-3</v>
      </c>
      <c r="J50" s="25">
        <v>2.1999999999999999E-2</v>
      </c>
      <c r="K50" s="25">
        <v>0.16739999999999999</v>
      </c>
      <c r="L50" s="25">
        <f t="shared" si="7"/>
        <v>4.7275239902111466E-4</v>
      </c>
      <c r="M50" s="26">
        <v>1530233</v>
      </c>
      <c r="N50" s="26">
        <f>SUM(bdp!AU65:AU68)*1000000</f>
        <v>330770474358.39264</v>
      </c>
      <c r="O50" s="46">
        <f t="shared" si="4"/>
        <v>216156.93450500193</v>
      </c>
      <c r="P50" s="23">
        <f t="shared" si="2"/>
        <v>-8.1159233077969795E-3</v>
      </c>
      <c r="Q50" s="25">
        <v>2.1999999999999999E-2</v>
      </c>
      <c r="R50" s="25">
        <v>0.16739999999999999</v>
      </c>
      <c r="S50" s="25">
        <f t="shared" si="8"/>
        <v>4.7275239902111466E-4</v>
      </c>
      <c r="T50" s="26">
        <v>1530233</v>
      </c>
      <c r="U50" s="26">
        <f>SUM(bdp!AX65:AX68)*1000000</f>
        <v>330770474358.39264</v>
      </c>
      <c r="V50" s="46">
        <f t="shared" si="5"/>
        <v>216156.93450500193</v>
      </c>
      <c r="W50" s="31"/>
      <c r="X50" s="21">
        <v>40178</v>
      </c>
      <c r="Y50" s="36">
        <v>7660.7140158643069</v>
      </c>
      <c r="Z50" s="36">
        <v>7660.7140158643069</v>
      </c>
      <c r="AA50" s="36">
        <v>7660.7140158643069</v>
      </c>
    </row>
    <row r="51" spans="1:27" ht="14.25" customHeight="1">
      <c r="A51" s="21">
        <v>40268</v>
      </c>
      <c r="B51" s="23">
        <f t="shared" si="0"/>
        <v>-1.8293632725485343E-2</v>
      </c>
      <c r="C51" s="25">
        <v>1.4750000000000001E-2</v>
      </c>
      <c r="D51" s="25">
        <v>0.1825</v>
      </c>
      <c r="E51" s="25">
        <f t="shared" si="6"/>
        <v>1.1649525206809619E-2</v>
      </c>
      <c r="F51" s="26">
        <v>1498222</v>
      </c>
      <c r="G51" s="26">
        <f>SUM(bdp!AR66:AR69)*1000000</f>
        <v>329721212151.10132</v>
      </c>
      <c r="H51" s="46">
        <f t="shared" si="3"/>
        <v>220075.00367175313</v>
      </c>
      <c r="I51" s="23">
        <f t="shared" si="1"/>
        <v>-1.8293632725485343E-2</v>
      </c>
      <c r="J51" s="25">
        <v>1.4750000000000001E-2</v>
      </c>
      <c r="K51" s="25">
        <v>0.1825</v>
      </c>
      <c r="L51" s="25">
        <f t="shared" si="7"/>
        <v>1.1649525206809619E-2</v>
      </c>
      <c r="M51" s="26">
        <v>1498222</v>
      </c>
      <c r="N51" s="26">
        <f>SUM(bdp!AU66:AU69)*1000000</f>
        <v>329721212151.10132</v>
      </c>
      <c r="O51" s="46">
        <f t="shared" si="4"/>
        <v>220075.00367175313</v>
      </c>
      <c r="P51" s="23">
        <f t="shared" si="2"/>
        <v>-1.8293632725485343E-2</v>
      </c>
      <c r="Q51" s="25">
        <v>1.4750000000000001E-2</v>
      </c>
      <c r="R51" s="25">
        <v>0.1825</v>
      </c>
      <c r="S51" s="25">
        <f t="shared" si="8"/>
        <v>1.1649525206809619E-2</v>
      </c>
      <c r="T51" s="26">
        <v>1498222</v>
      </c>
      <c r="U51" s="26">
        <f>SUM(bdp!AX66:AX69)*1000000</f>
        <v>329721212151.10132</v>
      </c>
      <c r="V51" s="46">
        <f t="shared" si="5"/>
        <v>220075.00367175313</v>
      </c>
      <c r="W51" s="31"/>
      <c r="X51" s="21">
        <v>40268</v>
      </c>
      <c r="Y51" s="36">
        <v>7598.7553192123514</v>
      </c>
      <c r="Z51" s="36">
        <v>7598.7553192123514</v>
      </c>
      <c r="AA51" s="36">
        <v>7598.7553192123514</v>
      </c>
    </row>
    <row r="52" spans="1:27" ht="14.25" customHeight="1">
      <c r="A52" s="21">
        <v>40359</v>
      </c>
      <c r="B52" s="23">
        <f t="shared" si="0"/>
        <v>-1.0239337944161986E-2</v>
      </c>
      <c r="C52" s="25">
        <v>1.125E-2</v>
      </c>
      <c r="D52" s="25">
        <v>0.1646</v>
      </c>
      <c r="E52" s="25">
        <f t="shared" si="6"/>
        <v>6.2773056867742039E-3</v>
      </c>
      <c r="F52" s="26">
        <v>1532633</v>
      </c>
      <c r="G52" s="26">
        <f>SUM(bdp!AR67:AR70)*1000000</f>
        <v>327796577820.79944</v>
      </c>
      <c r="H52" s="46">
        <f t="shared" si="3"/>
        <v>213878.06332031181</v>
      </c>
      <c r="I52" s="23">
        <f t="shared" si="1"/>
        <v>-1.0239337944161986E-2</v>
      </c>
      <c r="J52" s="25">
        <v>1.125E-2</v>
      </c>
      <c r="K52" s="25">
        <v>0.1646</v>
      </c>
      <c r="L52" s="25">
        <f t="shared" si="7"/>
        <v>6.2773056867742039E-3</v>
      </c>
      <c r="M52" s="26">
        <v>1532633</v>
      </c>
      <c r="N52" s="26">
        <f>SUM(bdp!AU67:AU70)*1000000</f>
        <v>327796577820.79944</v>
      </c>
      <c r="O52" s="46">
        <f t="shared" si="4"/>
        <v>213878.06332031181</v>
      </c>
      <c r="P52" s="23">
        <f t="shared" si="2"/>
        <v>-1.0239337944161986E-2</v>
      </c>
      <c r="Q52" s="25">
        <v>1.125E-2</v>
      </c>
      <c r="R52" s="25">
        <v>0.1646</v>
      </c>
      <c r="S52" s="25">
        <f t="shared" si="8"/>
        <v>6.2773056867742039E-3</v>
      </c>
      <c r="T52" s="26">
        <v>1532633</v>
      </c>
      <c r="U52" s="26">
        <f>SUM(bdp!AX67:AX70)*1000000</f>
        <v>327796577820.79944</v>
      </c>
      <c r="V52" s="46">
        <f t="shared" si="5"/>
        <v>213878.06332031181</v>
      </c>
      <c r="W52" s="31"/>
      <c r="X52" s="21">
        <v>40359</v>
      </c>
      <c r="Y52" s="36">
        <v>7642.8088189646833</v>
      </c>
      <c r="Z52" s="36">
        <v>7642.8088189646833</v>
      </c>
      <c r="AA52" s="36">
        <v>7642.8088189646833</v>
      </c>
    </row>
    <row r="53" spans="1:27" ht="14.25" customHeight="1">
      <c r="A53" s="21">
        <v>40451</v>
      </c>
      <c r="B53" s="23">
        <f t="shared" si="0"/>
        <v>1.9494514443529898E-3</v>
      </c>
      <c r="C53" s="25">
        <v>1.225E-2</v>
      </c>
      <c r="D53" s="25">
        <v>0.16760000000000003</v>
      </c>
      <c r="E53" s="25">
        <f t="shared" si="6"/>
        <v>2.6282223167890972E-2</v>
      </c>
      <c r="F53" s="26">
        <v>1517737</v>
      </c>
      <c r="G53" s="26">
        <f>SUM(bdp!AR68:AR71)*1000000</f>
        <v>329364050354.72894</v>
      </c>
      <c r="H53" s="46">
        <f t="shared" si="3"/>
        <v>217009.96309290011</v>
      </c>
      <c r="I53" s="23">
        <f t="shared" si="1"/>
        <v>1.9494514443529898E-3</v>
      </c>
      <c r="J53" s="25">
        <v>1.225E-2</v>
      </c>
      <c r="K53" s="25">
        <v>0.16760000000000003</v>
      </c>
      <c r="L53" s="25">
        <f t="shared" si="7"/>
        <v>2.6282223167890972E-2</v>
      </c>
      <c r="M53" s="26">
        <v>1517737</v>
      </c>
      <c r="N53" s="26">
        <f>SUM(bdp!AU68:AU71)*1000000</f>
        <v>329364050354.72894</v>
      </c>
      <c r="O53" s="46">
        <f t="shared" si="4"/>
        <v>217009.96309290011</v>
      </c>
      <c r="P53" s="23">
        <f t="shared" si="2"/>
        <v>1.9494514443529898E-3</v>
      </c>
      <c r="Q53" s="25">
        <v>1.225E-2</v>
      </c>
      <c r="R53" s="25">
        <v>0.16760000000000003</v>
      </c>
      <c r="S53" s="25">
        <f t="shared" si="8"/>
        <v>2.6282223167890972E-2</v>
      </c>
      <c r="T53" s="26">
        <v>1517737</v>
      </c>
      <c r="U53" s="26">
        <f>SUM(bdp!AX68:AX71)*1000000</f>
        <v>329364050354.72894</v>
      </c>
      <c r="V53" s="46">
        <f t="shared" si="5"/>
        <v>217009.96309290011</v>
      </c>
      <c r="W53" s="31"/>
      <c r="X53" s="21">
        <v>40451</v>
      </c>
      <c r="Y53" s="36">
        <v>7708.6155014649521</v>
      </c>
      <c r="Z53" s="36">
        <v>7708.6155014649521</v>
      </c>
      <c r="AA53" s="36">
        <v>7708.6155014649521</v>
      </c>
    </row>
    <row r="54" spans="1:27" ht="14.25" customHeight="1">
      <c r="A54" s="21">
        <v>40543</v>
      </c>
      <c r="B54" s="23">
        <f t="shared" si="0"/>
        <v>6.1342761120628531E-3</v>
      </c>
      <c r="C54" s="25">
        <v>1.2E-2</v>
      </c>
      <c r="D54" s="25">
        <v>0.18640000000000001</v>
      </c>
      <c r="E54" s="25">
        <f t="shared" si="6"/>
        <v>3.1088316020046358E-2</v>
      </c>
      <c r="F54" s="26">
        <v>1475363</v>
      </c>
      <c r="G54" s="26">
        <f>SUM(bdp!AR69:AR72)*1000000</f>
        <v>328824316463.2793</v>
      </c>
      <c r="H54" s="46">
        <f t="shared" si="3"/>
        <v>222876.88959481788</v>
      </c>
      <c r="I54" s="23">
        <f t="shared" si="1"/>
        <v>6.1342761120628531E-3</v>
      </c>
      <c r="J54" s="25">
        <v>1.2E-2</v>
      </c>
      <c r="K54" s="25">
        <v>0.18640000000000001</v>
      </c>
      <c r="L54" s="25">
        <f t="shared" si="7"/>
        <v>3.1088316020046358E-2</v>
      </c>
      <c r="M54" s="26">
        <v>1475363</v>
      </c>
      <c r="N54" s="26">
        <f>SUM(bdp!AU69:AU72)*1000000</f>
        <v>328824316463.2793</v>
      </c>
      <c r="O54" s="46">
        <f t="shared" si="4"/>
        <v>222876.88959481788</v>
      </c>
      <c r="P54" s="23">
        <f t="shared" si="2"/>
        <v>6.1342761120628531E-3</v>
      </c>
      <c r="Q54" s="25">
        <v>1.2E-2</v>
      </c>
      <c r="R54" s="25">
        <v>0.18640000000000001</v>
      </c>
      <c r="S54" s="25">
        <f t="shared" si="8"/>
        <v>3.1088316020046358E-2</v>
      </c>
      <c r="T54" s="26">
        <v>1475363</v>
      </c>
      <c r="U54" s="26">
        <f>SUM(bdp!AX69:AX72)*1000000</f>
        <v>328824316463.2793</v>
      </c>
      <c r="V54" s="46">
        <f t="shared" si="5"/>
        <v>222876.88959481788</v>
      </c>
      <c r="W54" s="31"/>
      <c r="X54" s="21">
        <v>40543</v>
      </c>
      <c r="Y54" s="36">
        <v>7707.7069508531686</v>
      </c>
      <c r="Z54" s="36">
        <v>7707.7069508531686</v>
      </c>
      <c r="AA54" s="36">
        <v>7707.7069508531686</v>
      </c>
    </row>
    <row r="55" spans="1:27" ht="14.25" customHeight="1">
      <c r="A55" s="21">
        <v>40633</v>
      </c>
      <c r="B55" s="23">
        <f t="shared" si="0"/>
        <v>2.9895240254913524E-3</v>
      </c>
      <c r="C55" s="25">
        <v>1.6250000000000001E-2</v>
      </c>
      <c r="D55" s="25">
        <v>0.1913</v>
      </c>
      <c r="E55" s="25">
        <f t="shared" si="6"/>
        <v>1.5852242287100138E-2</v>
      </c>
      <c r="F55" s="26">
        <v>1469809</v>
      </c>
      <c r="G55" s="26">
        <f>SUM(bdp!AR70:AR73)*1000000</f>
        <v>328595917684.38287</v>
      </c>
      <c r="H55" s="46">
        <f t="shared" si="3"/>
        <v>223563.68595129222</v>
      </c>
      <c r="I55" s="23">
        <f t="shared" si="1"/>
        <v>2.9895240254913524E-3</v>
      </c>
      <c r="J55" s="25">
        <v>1.6250000000000001E-2</v>
      </c>
      <c r="K55" s="25">
        <v>0.1913</v>
      </c>
      <c r="L55" s="25">
        <f t="shared" si="7"/>
        <v>1.5852242287100138E-2</v>
      </c>
      <c r="M55" s="26">
        <v>1469809</v>
      </c>
      <c r="N55" s="26">
        <f>SUM(bdp!AU70:AU73)*1000000</f>
        <v>328595917684.38287</v>
      </c>
      <c r="O55" s="46">
        <f t="shared" si="4"/>
        <v>223563.68595129222</v>
      </c>
      <c r="P55" s="23">
        <f t="shared" si="2"/>
        <v>2.9895240254913524E-3</v>
      </c>
      <c r="Q55" s="25">
        <v>1.6250000000000001E-2</v>
      </c>
      <c r="R55" s="25">
        <v>0.1913</v>
      </c>
      <c r="S55" s="25">
        <f t="shared" si="8"/>
        <v>1.5852242287100138E-2</v>
      </c>
      <c r="T55" s="26">
        <v>1469809</v>
      </c>
      <c r="U55" s="26">
        <f>SUM(bdp!AX70:AX73)*1000000</f>
        <v>328595917684.38287</v>
      </c>
      <c r="V55" s="46">
        <f t="shared" si="5"/>
        <v>223563.68595129222</v>
      </c>
      <c r="W55" s="31"/>
      <c r="X55" s="21">
        <v>40633</v>
      </c>
      <c r="Y55" s="36">
        <v>7621.4719808029668</v>
      </c>
      <c r="Z55" s="36">
        <v>7621.4719808029668</v>
      </c>
      <c r="AA55" s="36">
        <v>7621.4719808029668</v>
      </c>
    </row>
    <row r="56" spans="1:27" ht="14.25" customHeight="1">
      <c r="A56" s="21">
        <v>40724</v>
      </c>
      <c r="B56" s="23">
        <f t="shared" si="0"/>
        <v>9.0136141357723965E-3</v>
      </c>
      <c r="C56" s="25">
        <v>1.95E-2</v>
      </c>
      <c r="D56" s="25">
        <v>0.16690000000000002</v>
      </c>
      <c r="E56" s="25">
        <f t="shared" si="6"/>
        <v>1.6656666954003141E-2</v>
      </c>
      <c r="F56" s="26">
        <v>1521090</v>
      </c>
      <c r="G56" s="26">
        <f>SUM(bdp!AR71:AR74)*1000000</f>
        <v>330746659873.80316</v>
      </c>
      <c r="H56" s="46">
        <f t="shared" si="3"/>
        <v>217440.55898980543</v>
      </c>
      <c r="I56" s="23">
        <f t="shared" si="1"/>
        <v>9.0136141357723965E-3</v>
      </c>
      <c r="J56" s="25">
        <v>1.95E-2</v>
      </c>
      <c r="K56" s="25">
        <v>0.16690000000000002</v>
      </c>
      <c r="L56" s="25">
        <f t="shared" si="7"/>
        <v>1.6656666954003141E-2</v>
      </c>
      <c r="M56" s="26">
        <v>1521090</v>
      </c>
      <c r="N56" s="26">
        <f>SUM(bdp!AU71:AU74)*1000000</f>
        <v>330746659873.80316</v>
      </c>
      <c r="O56" s="46">
        <f t="shared" si="4"/>
        <v>217440.55898980543</v>
      </c>
      <c r="P56" s="23">
        <f t="shared" si="2"/>
        <v>9.0136141357723965E-3</v>
      </c>
      <c r="Q56" s="25">
        <v>1.95E-2</v>
      </c>
      <c r="R56" s="25">
        <v>0.16690000000000002</v>
      </c>
      <c r="S56" s="25">
        <f t="shared" si="8"/>
        <v>1.6656666954003141E-2</v>
      </c>
      <c r="T56" s="26">
        <v>1521090</v>
      </c>
      <c r="U56" s="26">
        <f>SUM(bdp!AX71:AX74)*1000000</f>
        <v>330746659873.80316</v>
      </c>
      <c r="V56" s="46">
        <f t="shared" si="5"/>
        <v>217440.55898980543</v>
      </c>
      <c r="W56" s="31"/>
      <c r="X56" s="21">
        <v>40724</v>
      </c>
      <c r="Y56" s="36">
        <v>7711.698148572309</v>
      </c>
      <c r="Z56" s="36">
        <v>7711.698148572309</v>
      </c>
      <c r="AA56" s="36">
        <v>7711.698148572309</v>
      </c>
    </row>
    <row r="57" spans="1:27" ht="14.25" customHeight="1">
      <c r="A57" s="21">
        <v>40816</v>
      </c>
      <c r="B57" s="23">
        <f t="shared" si="0"/>
        <v>1.8225423872560986E-2</v>
      </c>
      <c r="C57" s="25">
        <v>2.1500000000000002E-2</v>
      </c>
      <c r="D57" s="25">
        <v>0.16600000000000001</v>
      </c>
      <c r="E57" s="25">
        <f t="shared" si="6"/>
        <v>1.1899455876385634E-2</v>
      </c>
      <c r="F57" s="26">
        <v>1512337</v>
      </c>
      <c r="G57" s="26">
        <f>SUM(bdp!AR72:AR75)*1000000</f>
        <v>332097505115.896</v>
      </c>
      <c r="H57" s="46">
        <f t="shared" si="3"/>
        <v>219592.26357346014</v>
      </c>
      <c r="I57" s="23">
        <f t="shared" si="1"/>
        <v>1.8225423872560986E-2</v>
      </c>
      <c r="J57" s="25">
        <v>2.1500000000000002E-2</v>
      </c>
      <c r="K57" s="25">
        <v>0.16600000000000001</v>
      </c>
      <c r="L57" s="25">
        <f t="shared" si="7"/>
        <v>1.1899455876385634E-2</v>
      </c>
      <c r="M57" s="26">
        <v>1512337</v>
      </c>
      <c r="N57" s="26">
        <f>SUM(bdp!AU72:AU75)*1000000</f>
        <v>332097505115.896</v>
      </c>
      <c r="O57" s="46">
        <f t="shared" si="4"/>
        <v>219592.26357346014</v>
      </c>
      <c r="P57" s="23">
        <f t="shared" si="2"/>
        <v>1.8225423872560986E-2</v>
      </c>
      <c r="Q57" s="25">
        <v>2.1500000000000002E-2</v>
      </c>
      <c r="R57" s="25">
        <v>0.16600000000000001</v>
      </c>
      <c r="S57" s="25">
        <f t="shared" si="8"/>
        <v>1.1899455876385634E-2</v>
      </c>
      <c r="T57" s="26">
        <v>1512337</v>
      </c>
      <c r="U57" s="26">
        <f>SUM(bdp!AX72:AX75)*1000000</f>
        <v>332097505115.896</v>
      </c>
      <c r="V57" s="46">
        <f t="shared" si="5"/>
        <v>219592.26357346014</v>
      </c>
      <c r="W57" s="31"/>
      <c r="X57" s="21">
        <v>40816</v>
      </c>
      <c r="Y57" s="36">
        <v>7849.1082864497457</v>
      </c>
      <c r="Z57" s="36">
        <v>7849.1082864497457</v>
      </c>
      <c r="AA57" s="36">
        <v>7849.1082864497457</v>
      </c>
    </row>
    <row r="58" spans="1:27" ht="14.25" customHeight="1">
      <c r="A58" s="21">
        <v>40908</v>
      </c>
      <c r="B58" s="23">
        <f t="shared" si="0"/>
        <v>3.2690629555404138E-2</v>
      </c>
      <c r="C58" s="25">
        <v>2.2250000000000002E-2</v>
      </c>
      <c r="D58" s="25">
        <v>0.18558517003648892</v>
      </c>
      <c r="E58" s="25">
        <f t="shared" si="6"/>
        <v>1.8342032678571041E-2</v>
      </c>
      <c r="F58" s="26">
        <v>1468133</v>
      </c>
      <c r="G58" s="26">
        <f>SUM(bdp!AR73:AR76)*1000000</f>
        <v>333214666559.74707</v>
      </c>
      <c r="H58" s="46">
        <f t="shared" si="3"/>
        <v>226964.9047870643</v>
      </c>
      <c r="I58" s="23">
        <f t="shared" si="1"/>
        <v>3.2690629555404138E-2</v>
      </c>
      <c r="J58" s="25">
        <v>2.2250000000000002E-2</v>
      </c>
      <c r="K58" s="25">
        <v>0.18558517003648892</v>
      </c>
      <c r="L58" s="25">
        <f t="shared" si="7"/>
        <v>1.8342032678571041E-2</v>
      </c>
      <c r="M58" s="26">
        <v>1468133</v>
      </c>
      <c r="N58" s="26">
        <f>SUM(bdp!AU73:AU76)*1000000</f>
        <v>333214666559.74707</v>
      </c>
      <c r="O58" s="46">
        <f t="shared" si="4"/>
        <v>226964.9047870643</v>
      </c>
      <c r="P58" s="23">
        <f t="shared" si="2"/>
        <v>3.2690629555404138E-2</v>
      </c>
      <c r="Q58" s="25">
        <v>2.2250000000000002E-2</v>
      </c>
      <c r="R58" s="25">
        <v>0.18558517003648892</v>
      </c>
      <c r="S58" s="25">
        <f t="shared" si="8"/>
        <v>1.8342032678571041E-2</v>
      </c>
      <c r="T58" s="26">
        <v>1468133</v>
      </c>
      <c r="U58" s="26">
        <f>SUM(bdp!AX73:AX76)*1000000</f>
        <v>333214666559.74707</v>
      </c>
      <c r="V58" s="46">
        <f t="shared" si="5"/>
        <v>226964.9047870643</v>
      </c>
      <c r="W58" s="31"/>
      <c r="X58" s="21">
        <v>40908</v>
      </c>
      <c r="Y58" s="36">
        <v>7959.6767435051233</v>
      </c>
      <c r="Z58" s="36">
        <v>7959.6767435051233</v>
      </c>
      <c r="AA58" s="36">
        <v>7959.6767435051233</v>
      </c>
    </row>
    <row r="59" spans="1:27" ht="14.25" customHeight="1">
      <c r="A59" s="21">
        <v>40999</v>
      </c>
      <c r="B59" s="23">
        <f t="shared" si="0"/>
        <v>1.6243548607388414E-2</v>
      </c>
      <c r="C59" s="25">
        <v>2.0750000000000001E-2</v>
      </c>
      <c r="D59" s="25">
        <v>0.19699999999999998</v>
      </c>
      <c r="E59" s="25">
        <f t="shared" si="6"/>
        <v>2.3340214829219663E-2</v>
      </c>
      <c r="F59" s="26">
        <v>1455433</v>
      </c>
      <c r="G59" s="26">
        <f>SUM(bdp!AR74:AR77)*1000000</f>
        <v>332976451126.29529</v>
      </c>
      <c r="H59" s="46">
        <f t="shared" si="3"/>
        <v>228781.71040940756</v>
      </c>
      <c r="I59" s="23">
        <f t="shared" si="1"/>
        <v>1.6243548607388414E-2</v>
      </c>
      <c r="J59" s="25">
        <v>2.0750000000000001E-2</v>
      </c>
      <c r="K59" s="25">
        <v>0.19699999999999998</v>
      </c>
      <c r="L59" s="25">
        <f t="shared" si="7"/>
        <v>2.3340214829219663E-2</v>
      </c>
      <c r="M59" s="26">
        <v>1455433</v>
      </c>
      <c r="N59" s="26">
        <f>SUM(bdp!AU74:AU77)*1000000</f>
        <v>332976451126.29529</v>
      </c>
      <c r="O59" s="46">
        <f t="shared" si="4"/>
        <v>228781.71040940756</v>
      </c>
      <c r="P59" s="23">
        <f t="shared" si="2"/>
        <v>1.6243548607388414E-2</v>
      </c>
      <c r="Q59" s="25">
        <v>2.0750000000000001E-2</v>
      </c>
      <c r="R59" s="25">
        <v>0.19699999999999998</v>
      </c>
      <c r="S59" s="25">
        <f t="shared" si="8"/>
        <v>2.3340214829219663E-2</v>
      </c>
      <c r="T59" s="26">
        <v>1455433</v>
      </c>
      <c r="U59" s="26">
        <f>SUM(bdp!AX74:AX77)*1000000</f>
        <v>332976451126.29529</v>
      </c>
      <c r="V59" s="46">
        <f t="shared" si="5"/>
        <v>228781.71040940756</v>
      </c>
      <c r="W59" s="31"/>
      <c r="X59" s="21">
        <v>40999</v>
      </c>
      <c r="Y59" s="36">
        <v>7745.2717313829889</v>
      </c>
      <c r="Z59" s="36">
        <v>7745.2717313829889</v>
      </c>
      <c r="AA59" s="36">
        <v>7745.2717313829889</v>
      </c>
    </row>
    <row r="60" spans="1:27" ht="14.25" customHeight="1">
      <c r="A60" s="21">
        <v>41090</v>
      </c>
      <c r="B60" s="23">
        <f t="shared" si="0"/>
        <v>1.969003851009421E-2</v>
      </c>
      <c r="C60" s="25">
        <v>2.5250000000000002E-2</v>
      </c>
      <c r="D60" s="25">
        <v>0.17100000000000001</v>
      </c>
      <c r="E60" s="25">
        <f t="shared" si="6"/>
        <v>9.5585090606542522E-3</v>
      </c>
      <c r="F60" s="26">
        <v>1511737</v>
      </c>
      <c r="G60" s="26">
        <f>SUM(bdp!AR75:AR78)*1000000</f>
        <v>331854943924.91077</v>
      </c>
      <c r="H60" s="46">
        <f t="shared" si="3"/>
        <v>219518.96654306323</v>
      </c>
      <c r="I60" s="23">
        <f t="shared" si="1"/>
        <v>1.969003851009421E-2</v>
      </c>
      <c r="J60" s="25">
        <v>2.5250000000000002E-2</v>
      </c>
      <c r="K60" s="25">
        <v>0.17100000000000001</v>
      </c>
      <c r="L60" s="25">
        <f t="shared" si="7"/>
        <v>9.5585090606542522E-3</v>
      </c>
      <c r="M60" s="26">
        <v>1511737</v>
      </c>
      <c r="N60" s="26">
        <f>SUM(bdp!AU75:AU78)*1000000</f>
        <v>331854943924.91077</v>
      </c>
      <c r="O60" s="46">
        <f t="shared" si="4"/>
        <v>219518.96654306323</v>
      </c>
      <c r="P60" s="23">
        <f t="shared" si="2"/>
        <v>1.969003851009421E-2</v>
      </c>
      <c r="Q60" s="25">
        <v>2.5250000000000002E-2</v>
      </c>
      <c r="R60" s="25">
        <v>0.17100000000000001</v>
      </c>
      <c r="S60" s="25">
        <f t="shared" si="8"/>
        <v>9.5585090606542522E-3</v>
      </c>
      <c r="T60" s="26">
        <v>1511737</v>
      </c>
      <c r="U60" s="26">
        <f>SUM(bdp!AX75:AX78)*1000000</f>
        <v>331854943924.91077</v>
      </c>
      <c r="V60" s="46">
        <f t="shared" si="5"/>
        <v>219518.96654306323</v>
      </c>
      <c r="W60" s="31"/>
      <c r="X60" s="21">
        <v>41090</v>
      </c>
      <c r="Y60" s="36">
        <v>7863.5417820959201</v>
      </c>
      <c r="Z60" s="36">
        <v>7863.5417820959201</v>
      </c>
      <c r="AA60" s="36">
        <v>7863.5417820959201</v>
      </c>
    </row>
    <row r="61" spans="1:27" ht="14.25" customHeight="1">
      <c r="A61" s="21">
        <v>41182</v>
      </c>
      <c r="B61" s="23">
        <f t="shared" si="0"/>
        <v>7.934504277647747E-3</v>
      </c>
      <c r="C61" s="25">
        <v>3.2250000000000001E-2</v>
      </c>
      <c r="D61" s="25">
        <v>0.18100000000000002</v>
      </c>
      <c r="E61" s="25">
        <f t="shared" si="6"/>
        <v>1.5103892623395065E-2</v>
      </c>
      <c r="F61" s="26">
        <v>1486425</v>
      </c>
      <c r="G61" s="26">
        <f>SUM(bdp!AR76:AR79)*1000000</f>
        <v>331337453162.15125</v>
      </c>
      <c r="H61" s="46">
        <f t="shared" si="3"/>
        <v>222908.96154340197</v>
      </c>
      <c r="I61" s="23">
        <f t="shared" si="1"/>
        <v>7.934504277647747E-3</v>
      </c>
      <c r="J61" s="25">
        <v>3.2250000000000001E-2</v>
      </c>
      <c r="K61" s="25">
        <v>0.18100000000000002</v>
      </c>
      <c r="L61" s="25">
        <f t="shared" si="7"/>
        <v>1.5103892623395065E-2</v>
      </c>
      <c r="M61" s="26">
        <v>1486425</v>
      </c>
      <c r="N61" s="26">
        <f>SUM(bdp!AU76:AU79)*1000000</f>
        <v>331337453162.15125</v>
      </c>
      <c r="O61" s="46">
        <f t="shared" si="4"/>
        <v>222908.96154340197</v>
      </c>
      <c r="P61" s="23">
        <f t="shared" si="2"/>
        <v>7.934504277647747E-3</v>
      </c>
      <c r="Q61" s="25">
        <v>3.2250000000000001E-2</v>
      </c>
      <c r="R61" s="25">
        <v>0.18100000000000002</v>
      </c>
      <c r="S61" s="25">
        <f t="shared" si="8"/>
        <v>1.5103892623395065E-2</v>
      </c>
      <c r="T61" s="26">
        <v>1486425</v>
      </c>
      <c r="U61" s="26">
        <f>SUM(bdp!AX76:AX79)*1000000</f>
        <v>331337453162.15125</v>
      </c>
      <c r="V61" s="46">
        <f t="shared" si="5"/>
        <v>222908.96154340197</v>
      </c>
      <c r="W61" s="31"/>
      <c r="X61" s="21">
        <v>41182</v>
      </c>
      <c r="Y61" s="36">
        <v>7911.3870697243019</v>
      </c>
      <c r="Z61" s="36">
        <v>7911.3870697243019</v>
      </c>
      <c r="AA61" s="36">
        <v>7911.3870697243019</v>
      </c>
    </row>
    <row r="62" spans="1:27" ht="14.25" customHeight="1">
      <c r="A62" s="21">
        <v>41274</v>
      </c>
      <c r="B62" s="23">
        <f t="shared" si="0"/>
        <v>-4.8695747681695156E-3</v>
      </c>
      <c r="C62" s="25">
        <v>3.875E-2</v>
      </c>
      <c r="D62" s="25">
        <v>0.20899999999999999</v>
      </c>
      <c r="E62" s="25">
        <f t="shared" si="6"/>
        <v>1.6383650642543657E-2</v>
      </c>
      <c r="F62" s="26">
        <v>1432740</v>
      </c>
      <c r="G62" s="26">
        <f>SUM(bdp!AR77:AR80)*1000000</f>
        <v>330509361014.83252</v>
      </c>
      <c r="H62" s="46">
        <f t="shared" si="3"/>
        <v>230683.41849521373</v>
      </c>
      <c r="I62" s="23">
        <f t="shared" si="1"/>
        <v>-4.8695747681695156E-3</v>
      </c>
      <c r="J62" s="25">
        <v>3.875E-2</v>
      </c>
      <c r="K62" s="25">
        <v>0.20899999999999999</v>
      </c>
      <c r="L62" s="25">
        <f t="shared" si="7"/>
        <v>1.6383650642543657E-2</v>
      </c>
      <c r="M62" s="26">
        <v>1432740</v>
      </c>
      <c r="N62" s="26">
        <f>SUM(bdp!AU77:AU80)*1000000</f>
        <v>330509361014.83252</v>
      </c>
      <c r="O62" s="46">
        <f t="shared" si="4"/>
        <v>230683.41849521373</v>
      </c>
      <c r="P62" s="23">
        <f t="shared" si="2"/>
        <v>-4.8695747681695156E-3</v>
      </c>
      <c r="Q62" s="25">
        <v>3.875E-2</v>
      </c>
      <c r="R62" s="25">
        <v>0.20899999999999999</v>
      </c>
      <c r="S62" s="25">
        <f t="shared" si="8"/>
        <v>1.6383650642543657E-2</v>
      </c>
      <c r="T62" s="26">
        <v>1432740</v>
      </c>
      <c r="U62" s="26">
        <f>SUM(bdp!AX77:AX80)*1000000</f>
        <v>330509361014.83252</v>
      </c>
      <c r="V62" s="46">
        <f t="shared" si="5"/>
        <v>230683.41849521373</v>
      </c>
      <c r="W62" s="31"/>
      <c r="X62" s="21">
        <v>41274</v>
      </c>
      <c r="Y62" s="36">
        <v>7920.9165024721651</v>
      </c>
      <c r="Z62" s="36">
        <v>7920.9165024721651</v>
      </c>
      <c r="AA62" s="36">
        <v>7920.9165024721651</v>
      </c>
    </row>
    <row r="63" spans="1:27" ht="14.25" customHeight="1">
      <c r="A63" s="21">
        <v>41364</v>
      </c>
      <c r="B63" s="23">
        <f t="shared" si="0"/>
        <v>2.9817611605632788E-2</v>
      </c>
      <c r="C63" s="25">
        <v>4.3000000000000003E-2</v>
      </c>
      <c r="D63" s="25">
        <v>0.215</v>
      </c>
      <c r="E63" s="25">
        <f t="shared" si="6"/>
        <v>1.0949023888744858E-2</v>
      </c>
      <c r="F63" s="26">
        <v>1431939</v>
      </c>
      <c r="G63" s="26">
        <f>SUM(bdp!AR78:AR81)*1000000</f>
        <v>331188369763.6308</v>
      </c>
      <c r="H63" s="46">
        <f t="shared" si="3"/>
        <v>231286.64682198808</v>
      </c>
      <c r="I63" s="23">
        <f t="shared" si="1"/>
        <v>2.9817611605632788E-2</v>
      </c>
      <c r="J63" s="25">
        <v>4.3000000000000003E-2</v>
      </c>
      <c r="K63" s="25">
        <v>0.215</v>
      </c>
      <c r="L63" s="25">
        <f t="shared" si="7"/>
        <v>1.0949023888744858E-2</v>
      </c>
      <c r="M63" s="26">
        <v>1431939</v>
      </c>
      <c r="N63" s="26">
        <f>SUM(bdp!AU78:AU81)*1000000</f>
        <v>331188369763.6308</v>
      </c>
      <c r="O63" s="46">
        <f t="shared" si="4"/>
        <v>231286.64682198808</v>
      </c>
      <c r="P63" s="23">
        <f t="shared" si="2"/>
        <v>2.9817611605632788E-2</v>
      </c>
      <c r="Q63" s="25">
        <v>4.3000000000000003E-2</v>
      </c>
      <c r="R63" s="25">
        <v>0.215</v>
      </c>
      <c r="S63" s="25">
        <f t="shared" si="8"/>
        <v>1.0949023888744858E-2</v>
      </c>
      <c r="T63" s="26">
        <v>1431939</v>
      </c>
      <c r="U63" s="26">
        <f>SUM(bdp!AX78:AX81)*1000000</f>
        <v>331188369763.6308</v>
      </c>
      <c r="V63" s="46">
        <f t="shared" si="5"/>
        <v>231286.64682198808</v>
      </c>
      <c r="W63" s="31"/>
      <c r="X63" s="21">
        <v>41364</v>
      </c>
      <c r="Y63" s="36">
        <v>7976.2172356494539</v>
      </c>
      <c r="Z63" s="36">
        <v>7976.2172356494539</v>
      </c>
      <c r="AA63" s="36">
        <v>7976.2172356494539</v>
      </c>
    </row>
    <row r="64" spans="1:27" ht="14.25" customHeight="1">
      <c r="A64" s="21">
        <v>41455</v>
      </c>
      <c r="B64" s="23">
        <f t="shared" si="0"/>
        <v>1.0937483746707555E-2</v>
      </c>
      <c r="C64" s="25">
        <v>3.85E-2</v>
      </c>
      <c r="D64" s="25">
        <v>0.18600000000000003</v>
      </c>
      <c r="E64" s="25">
        <f t="shared" si="6"/>
        <v>1.0562358351563272E-2</v>
      </c>
      <c r="F64" s="26">
        <v>1497355</v>
      </c>
      <c r="G64" s="26">
        <f>SUM(bdp!AR79:AR82)*1000000</f>
        <v>332169646334.995</v>
      </c>
      <c r="H64" s="46">
        <f t="shared" si="3"/>
        <v>221837.60453265591</v>
      </c>
      <c r="I64" s="23">
        <f t="shared" si="1"/>
        <v>1.0937483746707555E-2</v>
      </c>
      <c r="J64" s="25">
        <v>3.85E-2</v>
      </c>
      <c r="K64" s="25">
        <v>0.18600000000000003</v>
      </c>
      <c r="L64" s="25">
        <f t="shared" si="7"/>
        <v>1.0562358351563272E-2</v>
      </c>
      <c r="M64" s="26">
        <v>1497355</v>
      </c>
      <c r="N64" s="26">
        <f>SUM(bdp!AU79:AU82)*1000000</f>
        <v>332169646334.995</v>
      </c>
      <c r="O64" s="46">
        <f t="shared" si="4"/>
        <v>221837.60453265591</v>
      </c>
      <c r="P64" s="23">
        <f t="shared" si="2"/>
        <v>1.0937483746707555E-2</v>
      </c>
      <c r="Q64" s="25">
        <v>3.85E-2</v>
      </c>
      <c r="R64" s="25">
        <v>0.18600000000000003</v>
      </c>
      <c r="S64" s="25">
        <f t="shared" si="8"/>
        <v>1.0562358351563272E-2</v>
      </c>
      <c r="T64" s="26">
        <v>1497355</v>
      </c>
      <c r="U64" s="26">
        <f>SUM(bdp!AX79:AX82)*1000000</f>
        <v>332169646334.995</v>
      </c>
      <c r="V64" s="46">
        <f t="shared" si="5"/>
        <v>221837.60453265591</v>
      </c>
      <c r="W64" s="31"/>
      <c r="X64" s="21">
        <v>41455</v>
      </c>
      <c r="Y64" s="36">
        <v>7949.5491425291493</v>
      </c>
      <c r="Z64" s="36">
        <v>7949.5491425291493</v>
      </c>
      <c r="AA64" s="36">
        <v>7949.5491425291493</v>
      </c>
    </row>
    <row r="65" spans="1:27" ht="14.25" customHeight="1">
      <c r="A65" s="21">
        <v>41547</v>
      </c>
      <c r="B65" s="23">
        <f t="shared" si="0"/>
        <v>1.148185264712609E-3</v>
      </c>
      <c r="C65" s="25">
        <v>2.8750000000000001E-2</v>
      </c>
      <c r="D65" s="25">
        <v>0.19</v>
      </c>
      <c r="E65" s="25">
        <f t="shared" si="6"/>
        <v>8.8127836501479262E-3</v>
      </c>
      <c r="F65" s="26">
        <v>1475496</v>
      </c>
      <c r="G65" s="26">
        <f>SUM(bdp!AR80:AR83)*1000000</f>
        <v>331799816954.22321</v>
      </c>
      <c r="H65" s="46">
        <f t="shared" si="3"/>
        <v>224873.40999516312</v>
      </c>
      <c r="I65" s="23">
        <f t="shared" si="1"/>
        <v>1.148185264712609E-3</v>
      </c>
      <c r="J65" s="25">
        <v>2.8750000000000001E-2</v>
      </c>
      <c r="K65" s="25">
        <v>0.19</v>
      </c>
      <c r="L65" s="25">
        <f t="shared" si="7"/>
        <v>8.8127836501479262E-3</v>
      </c>
      <c r="M65" s="26">
        <v>1475496</v>
      </c>
      <c r="N65" s="26">
        <f>SUM(bdp!AU80:AU83)*1000000</f>
        <v>331799816954.22321</v>
      </c>
      <c r="O65" s="46">
        <f t="shared" si="4"/>
        <v>224873.40999516312</v>
      </c>
      <c r="P65" s="23">
        <f t="shared" si="2"/>
        <v>1.148185264712609E-3</v>
      </c>
      <c r="Q65" s="25">
        <v>2.8750000000000001E-2</v>
      </c>
      <c r="R65" s="25">
        <v>0.19</v>
      </c>
      <c r="S65" s="25">
        <f t="shared" si="8"/>
        <v>8.8127836501479262E-3</v>
      </c>
      <c r="T65" s="26">
        <v>1475496</v>
      </c>
      <c r="U65" s="26">
        <f>SUM(bdp!AX80:AX83)*1000000</f>
        <v>331799816954.22321</v>
      </c>
      <c r="V65" s="46">
        <f t="shared" si="5"/>
        <v>224873.40999516312</v>
      </c>
      <c r="W65" s="31"/>
      <c r="X65" s="21">
        <v>41547</v>
      </c>
      <c r="Y65" s="36">
        <v>7920.4708077811974</v>
      </c>
      <c r="Z65" s="36">
        <v>7920.4708077811974</v>
      </c>
      <c r="AA65" s="36">
        <v>7920.4708077811974</v>
      </c>
    </row>
    <row r="66" spans="1:27" ht="14.25" customHeight="1">
      <c r="A66" s="21">
        <v>41639</v>
      </c>
      <c r="B66" s="23">
        <f t="shared" si="0"/>
        <v>-5.7103102885835977E-4</v>
      </c>
      <c r="C66" s="25">
        <v>1.7750000000000002E-2</v>
      </c>
      <c r="D66" s="25">
        <v>0.215</v>
      </c>
      <c r="E66" s="25">
        <f t="shared" si="6"/>
        <v>2.5089886156050012E-2</v>
      </c>
      <c r="F66" s="26">
        <v>1400631</v>
      </c>
      <c r="G66" s="26">
        <f>SUM(bdp!AR81:AR84)*1000000</f>
        <v>331208948236.62323</v>
      </c>
      <c r="H66" s="46">
        <f t="shared" si="3"/>
        <v>236471.2392033471</v>
      </c>
      <c r="I66" s="23">
        <f t="shared" si="1"/>
        <v>-5.7103102885835977E-4</v>
      </c>
      <c r="J66" s="25">
        <v>1.7750000000000002E-2</v>
      </c>
      <c r="K66" s="25">
        <v>0.215</v>
      </c>
      <c r="L66" s="25">
        <f t="shared" si="7"/>
        <v>2.5089886156050012E-2</v>
      </c>
      <c r="M66" s="26">
        <v>1400631</v>
      </c>
      <c r="N66" s="26">
        <f>SUM(bdp!AU81:AU84)*1000000</f>
        <v>331208948236.62323</v>
      </c>
      <c r="O66" s="46">
        <f t="shared" si="4"/>
        <v>236471.2392033471</v>
      </c>
      <c r="P66" s="23">
        <f t="shared" si="2"/>
        <v>-5.7103102885835977E-4</v>
      </c>
      <c r="Q66" s="25">
        <v>1.7750000000000002E-2</v>
      </c>
      <c r="R66" s="25">
        <v>0.215</v>
      </c>
      <c r="S66" s="25">
        <f t="shared" si="8"/>
        <v>2.5089886156050012E-2</v>
      </c>
      <c r="T66" s="26">
        <v>1400631</v>
      </c>
      <c r="U66" s="26">
        <f>SUM(bdp!AX81:AX84)*1000000</f>
        <v>331208948236.62323</v>
      </c>
      <c r="V66" s="46">
        <f t="shared" si="5"/>
        <v>236471.2392033471</v>
      </c>
      <c r="W66" s="31"/>
      <c r="X66" s="21">
        <v>41639</v>
      </c>
      <c r="Y66" s="36">
        <v>7916.3934133722569</v>
      </c>
      <c r="Z66" s="36">
        <v>7916.3934133722569</v>
      </c>
      <c r="AA66" s="36">
        <v>7916.3934133722569</v>
      </c>
    </row>
    <row r="67" spans="1:27" ht="14.25" customHeight="1">
      <c r="A67" s="21">
        <v>41729</v>
      </c>
      <c r="B67" s="23">
        <f t="shared" si="0"/>
        <v>-9.4584056577006193E-3</v>
      </c>
      <c r="C67" s="25">
        <v>7.5000000000000006E-3</v>
      </c>
      <c r="D67" s="25">
        <v>0.222</v>
      </c>
      <c r="E67" s="25">
        <f t="shared" si="6"/>
        <v>2.2596995540605569E-2</v>
      </c>
      <c r="F67" s="26">
        <v>1394788</v>
      </c>
      <c r="G67" s="26">
        <f>SUM(bdp!AR82:AR85)*1000000</f>
        <v>329885536295.22095</v>
      </c>
      <c r="H67" s="46">
        <f t="shared" si="3"/>
        <v>236513.03014882616</v>
      </c>
      <c r="I67" s="23">
        <f t="shared" si="1"/>
        <v>-9.4584056577006193E-3</v>
      </c>
      <c r="J67" s="25">
        <v>7.5000000000000006E-3</v>
      </c>
      <c r="K67" s="25">
        <v>0.222</v>
      </c>
      <c r="L67" s="25">
        <f t="shared" si="7"/>
        <v>2.2596995540605569E-2</v>
      </c>
      <c r="M67" s="26">
        <v>1394788</v>
      </c>
      <c r="N67" s="26">
        <f>SUM(bdp!AU82:AU85)*1000000</f>
        <v>329885536295.22095</v>
      </c>
      <c r="O67" s="46">
        <f t="shared" si="4"/>
        <v>236513.03014882616</v>
      </c>
      <c r="P67" s="23">
        <f t="shared" si="2"/>
        <v>-9.4584056577006193E-3</v>
      </c>
      <c r="Q67" s="25">
        <v>7.5000000000000006E-3</v>
      </c>
      <c r="R67" s="25">
        <v>0.222</v>
      </c>
      <c r="S67" s="25">
        <f t="shared" si="8"/>
        <v>2.2596995540605569E-2</v>
      </c>
      <c r="T67" s="26">
        <v>1394788</v>
      </c>
      <c r="U67" s="26">
        <f>SUM(bdp!AX82:AX85)*1000000</f>
        <v>329885536295.22095</v>
      </c>
      <c r="V67" s="46">
        <f t="shared" si="5"/>
        <v>236513.03014882616</v>
      </c>
      <c r="W67" s="31"/>
      <c r="X67" s="21">
        <v>41729</v>
      </c>
      <c r="Y67" s="36">
        <v>7900.7749374207378</v>
      </c>
      <c r="Z67" s="36">
        <v>7900.7749374207378</v>
      </c>
      <c r="AA67" s="36">
        <v>7900.7749374207378</v>
      </c>
    </row>
    <row r="68" spans="1:27" ht="14.25" customHeight="1">
      <c r="A68" s="21">
        <v>41820</v>
      </c>
      <c r="B68" s="23">
        <f t="shared" si="0"/>
        <v>-1.1120271786917768E-2</v>
      </c>
      <c r="C68" s="25">
        <v>1.5000000000000005E-3</v>
      </c>
      <c r="D68" s="25">
        <v>0.182</v>
      </c>
      <c r="E68" s="25">
        <f t="shared" si="6"/>
        <v>1.7124493763108317E-2</v>
      </c>
      <c r="F68" s="26">
        <v>1460042</v>
      </c>
      <c r="G68" s="26">
        <f>SUM(bdp!AR83:AR86)*1000000</f>
        <v>329438710094.90216</v>
      </c>
      <c r="H68" s="46">
        <f t="shared" si="3"/>
        <v>225636.46120789825</v>
      </c>
      <c r="I68" s="23">
        <f t="shared" si="1"/>
        <v>-1.1120271786917768E-2</v>
      </c>
      <c r="J68" s="25">
        <v>1.5000000000000005E-3</v>
      </c>
      <c r="K68" s="25">
        <v>0.182</v>
      </c>
      <c r="L68" s="25">
        <f t="shared" si="7"/>
        <v>1.7124493763108317E-2</v>
      </c>
      <c r="M68" s="26">
        <v>1460042</v>
      </c>
      <c r="N68" s="26">
        <f>SUM(bdp!AU83:AU86)*1000000</f>
        <v>329438710094.90216</v>
      </c>
      <c r="O68" s="46">
        <f t="shared" si="4"/>
        <v>225636.46120789825</v>
      </c>
      <c r="P68" s="23">
        <f t="shared" si="2"/>
        <v>-1.1120271786917768E-2</v>
      </c>
      <c r="Q68" s="25">
        <v>1.5000000000000005E-3</v>
      </c>
      <c r="R68" s="25">
        <v>0.182</v>
      </c>
      <c r="S68" s="25">
        <f t="shared" si="8"/>
        <v>1.7124493763108317E-2</v>
      </c>
      <c r="T68" s="26">
        <v>1460042</v>
      </c>
      <c r="U68" s="26">
        <f>SUM(bdp!AX83:AX86)*1000000</f>
        <v>329438710094.90216</v>
      </c>
      <c r="V68" s="46">
        <f t="shared" si="5"/>
        <v>225636.46120789825</v>
      </c>
      <c r="W68" s="31"/>
      <c r="X68" s="21">
        <v>41820</v>
      </c>
      <c r="Y68" s="36">
        <v>7861.1479954807664</v>
      </c>
      <c r="Z68" s="36">
        <v>7861.1479954807664</v>
      </c>
      <c r="AA68" s="36">
        <v>7861.1479954807664</v>
      </c>
    </row>
    <row r="69" spans="1:27" ht="14.25" customHeight="1">
      <c r="A69" s="21">
        <v>41912</v>
      </c>
      <c r="B69" s="23">
        <f t="shared" si="0"/>
        <v>8.1628701579137264E-3</v>
      </c>
      <c r="C69" s="25">
        <v>-1.75E-3</v>
      </c>
      <c r="D69" s="25">
        <v>0.17600000000000002</v>
      </c>
      <c r="E69" s="25">
        <f t="shared" si="6"/>
        <v>1.7389097056727643E-2</v>
      </c>
      <c r="F69" s="26">
        <v>1443744</v>
      </c>
      <c r="G69" s="26">
        <f>SUM(bdp!AR84:AR87)*1000000</f>
        <v>330305174368.51489</v>
      </c>
      <c r="H69" s="46">
        <f t="shared" si="3"/>
        <v>228783.75554704634</v>
      </c>
      <c r="I69" s="23">
        <f t="shared" si="1"/>
        <v>8.1628701579137264E-3</v>
      </c>
      <c r="J69" s="25">
        <v>-1.75E-3</v>
      </c>
      <c r="K69" s="25">
        <v>0.17600000000000002</v>
      </c>
      <c r="L69" s="25">
        <f t="shared" si="7"/>
        <v>1.7389097056727643E-2</v>
      </c>
      <c r="M69" s="26">
        <v>1443744</v>
      </c>
      <c r="N69" s="26">
        <f>SUM(bdp!AU84:AU87)*1000000</f>
        <v>330305174368.51489</v>
      </c>
      <c r="O69" s="46">
        <f t="shared" si="4"/>
        <v>228783.75554704634</v>
      </c>
      <c r="P69" s="23">
        <f t="shared" si="2"/>
        <v>8.1628701579137264E-3</v>
      </c>
      <c r="Q69" s="25">
        <v>-1.75E-3</v>
      </c>
      <c r="R69" s="25">
        <v>0.17600000000000002</v>
      </c>
      <c r="S69" s="25">
        <f t="shared" si="8"/>
        <v>1.7389097056727643E-2</v>
      </c>
      <c r="T69" s="26">
        <v>1443744</v>
      </c>
      <c r="U69" s="26">
        <f>SUM(bdp!AX84:AX87)*1000000</f>
        <v>330305174368.51489</v>
      </c>
      <c r="V69" s="46">
        <f t="shared" si="5"/>
        <v>228783.75554704634</v>
      </c>
      <c r="W69" s="31"/>
      <c r="X69" s="21">
        <v>41912</v>
      </c>
      <c r="Y69" s="36">
        <v>7985.1245825746619</v>
      </c>
      <c r="Z69" s="36">
        <v>7985.1245825746619</v>
      </c>
      <c r="AA69" s="36">
        <v>7985.1245825746619</v>
      </c>
    </row>
    <row r="70" spans="1:27" ht="14.25" customHeight="1">
      <c r="A70" s="21">
        <v>42004</v>
      </c>
      <c r="B70" s="23">
        <f t="shared" si="0"/>
        <v>1.0747345927294649E-2</v>
      </c>
      <c r="C70" s="25">
        <v>-3.7499999999999999E-3</v>
      </c>
      <c r="D70" s="25">
        <v>0.19399999999999998</v>
      </c>
      <c r="E70" s="25">
        <f t="shared" si="6"/>
        <v>2.7171052062933132E-3</v>
      </c>
      <c r="F70" s="26">
        <v>1397400</v>
      </c>
      <c r="G70" s="26">
        <f>SUM(bdp!AR85:AR88)*1000000</f>
        <v>331342763247.19501</v>
      </c>
      <c r="H70" s="46">
        <f t="shared" si="3"/>
        <v>237113.75643852513</v>
      </c>
      <c r="I70" s="23">
        <f t="shared" si="1"/>
        <v>1.0747345927294649E-2</v>
      </c>
      <c r="J70" s="25">
        <v>-3.7499999999999999E-3</v>
      </c>
      <c r="K70" s="25">
        <v>0.19399999999999998</v>
      </c>
      <c r="L70" s="25">
        <f t="shared" si="7"/>
        <v>2.7171052062933132E-3</v>
      </c>
      <c r="M70" s="26">
        <v>1397400</v>
      </c>
      <c r="N70" s="26">
        <f>SUM(bdp!AU85:AU88)*1000000</f>
        <v>331342763247.19501</v>
      </c>
      <c r="O70" s="46">
        <f t="shared" si="4"/>
        <v>237113.75643852513</v>
      </c>
      <c r="P70" s="23">
        <f t="shared" si="2"/>
        <v>1.0747345927294649E-2</v>
      </c>
      <c r="Q70" s="25">
        <v>-3.7499999999999999E-3</v>
      </c>
      <c r="R70" s="25">
        <v>0.19399999999999998</v>
      </c>
      <c r="S70" s="25">
        <f t="shared" si="8"/>
        <v>2.7171052062933132E-3</v>
      </c>
      <c r="T70" s="26">
        <v>1397400</v>
      </c>
      <c r="U70" s="26">
        <f>SUM(bdp!AX85:AX88)*1000000</f>
        <v>331342763247.19501</v>
      </c>
      <c r="V70" s="46">
        <f t="shared" si="5"/>
        <v>237113.75643852513</v>
      </c>
      <c r="W70" s="31"/>
      <c r="X70" s="21">
        <v>42004</v>
      </c>
      <c r="Y70" s="36">
        <v>8001.4736318823261</v>
      </c>
      <c r="Z70" s="36">
        <v>8001.4736318823261</v>
      </c>
      <c r="AA70" s="36">
        <v>8001.4736318823261</v>
      </c>
    </row>
    <row r="71" spans="1:27" ht="14.25" customHeight="1">
      <c r="A71" s="21">
        <v>42094</v>
      </c>
      <c r="B71" s="23">
        <f t="shared" ref="B71:B89" si="9">Y71/Y67-1</f>
        <v>-4.3300833802127459E-2</v>
      </c>
      <c r="C71" s="25">
        <v>-2.4999999999999996E-3</v>
      </c>
      <c r="D71" s="25">
        <v>0.19087103434543717</v>
      </c>
      <c r="E71" s="25">
        <f t="shared" si="6"/>
        <v>5.474266690166818E-3</v>
      </c>
      <c r="F71" s="26">
        <v>1399509</v>
      </c>
      <c r="G71" s="26">
        <f>SUM(bdp!AR86:AR89)*1000000</f>
        <v>332814108159.29865</v>
      </c>
      <c r="H71" s="46">
        <f t="shared" si="3"/>
        <v>237807.76555156033</v>
      </c>
      <c r="I71" s="23">
        <f t="shared" ref="I71:I89" si="10">Z71/Z67-1</f>
        <v>-4.3300833802127459E-2</v>
      </c>
      <c r="J71" s="25">
        <v>-2.4999999999999996E-3</v>
      </c>
      <c r="K71" s="25">
        <v>0.19087103434543717</v>
      </c>
      <c r="L71" s="25">
        <f t="shared" si="7"/>
        <v>5.474266690166818E-3</v>
      </c>
      <c r="M71" s="26">
        <v>1399509</v>
      </c>
      <c r="N71" s="26">
        <f>SUM(bdp!AU86:AU89)*1000000</f>
        <v>332814108159.29865</v>
      </c>
      <c r="O71" s="46">
        <f t="shared" si="4"/>
        <v>237807.76555156033</v>
      </c>
      <c r="P71" s="23">
        <f t="shared" ref="P71:P89" si="11">AA71/AA67-1</f>
        <v>-4.3300833802127459E-2</v>
      </c>
      <c r="Q71" s="25">
        <v>-2.4999999999999996E-3</v>
      </c>
      <c r="R71" s="25">
        <v>0.19087103434543717</v>
      </c>
      <c r="S71" s="25">
        <f t="shared" si="8"/>
        <v>5.474266690166818E-3</v>
      </c>
      <c r="T71" s="26">
        <v>1399509</v>
      </c>
      <c r="U71" s="26">
        <f>SUM(bdp!AX86:AX89)*1000000</f>
        <v>332814108159.29865</v>
      </c>
      <c r="V71" s="46">
        <f t="shared" si="5"/>
        <v>237807.76555156033</v>
      </c>
      <c r="W71" s="31"/>
      <c r="X71" s="21">
        <v>42094</v>
      </c>
      <c r="Y71" s="36">
        <v>7558.6647949474682</v>
      </c>
      <c r="Z71" s="36">
        <v>7558.6647949474682</v>
      </c>
      <c r="AA71" s="36">
        <v>7558.6647949474682</v>
      </c>
    </row>
    <row r="72" spans="1:27" ht="14.25" customHeight="1">
      <c r="A72" s="21">
        <v>42185</v>
      </c>
      <c r="B72" s="23">
        <f t="shared" si="9"/>
        <v>-3.5465549519204109E-2</v>
      </c>
      <c r="C72" s="25">
        <v>-1.5E-3</v>
      </c>
      <c r="D72" s="25">
        <v>0.15551889263358312</v>
      </c>
      <c r="E72" s="25">
        <f t="shared" si="6"/>
        <v>7.3055737032781121E-3</v>
      </c>
      <c r="F72" s="26">
        <v>1472497</v>
      </c>
      <c r="G72" s="26">
        <f>SUM(bdp!AR87:AR90)*1000000</f>
        <v>334676281865.85559</v>
      </c>
      <c r="H72" s="46">
        <f t="shared" si="3"/>
        <v>227284.86500539939</v>
      </c>
      <c r="I72" s="23">
        <f t="shared" si="10"/>
        <v>-3.5465549519204109E-2</v>
      </c>
      <c r="J72" s="25">
        <v>-1.5E-3</v>
      </c>
      <c r="K72" s="25">
        <v>0.15551889263358312</v>
      </c>
      <c r="L72" s="25">
        <f t="shared" si="7"/>
        <v>7.3055737032781121E-3</v>
      </c>
      <c r="M72" s="26">
        <v>1472497</v>
      </c>
      <c r="N72" s="26">
        <f>SUM(bdp!AU87:AU90)*1000000</f>
        <v>334676281865.85559</v>
      </c>
      <c r="O72" s="46">
        <f t="shared" si="4"/>
        <v>227284.86500539939</v>
      </c>
      <c r="P72" s="23">
        <f t="shared" si="11"/>
        <v>-3.5465549519204109E-2</v>
      </c>
      <c r="Q72" s="25">
        <v>-1.5E-3</v>
      </c>
      <c r="R72" s="25">
        <v>0.15551889263358312</v>
      </c>
      <c r="S72" s="25">
        <f t="shared" si="8"/>
        <v>7.3055737032781121E-3</v>
      </c>
      <c r="T72" s="26">
        <v>1472497</v>
      </c>
      <c r="U72" s="26">
        <f>SUM(bdp!AX87:AX90)*1000000</f>
        <v>334676281865.85559</v>
      </c>
      <c r="V72" s="46">
        <f t="shared" si="5"/>
        <v>227284.86500539939</v>
      </c>
      <c r="W72" s="31"/>
      <c r="X72" s="21">
        <v>42185</v>
      </c>
      <c r="Y72" s="36">
        <v>7582.3480619692509</v>
      </c>
      <c r="Z72" s="36">
        <v>7582.3480619692509</v>
      </c>
      <c r="AA72" s="36">
        <v>7582.3480619692509</v>
      </c>
    </row>
    <row r="73" spans="1:27" ht="14.25" customHeight="1">
      <c r="A73" s="21">
        <v>42277</v>
      </c>
      <c r="B73" s="23">
        <f t="shared" si="9"/>
        <v>-4.366560032834188E-2</v>
      </c>
      <c r="C73" s="25">
        <v>-3.0000000000000001E-3</v>
      </c>
      <c r="D73" s="25">
        <v>0.15470822605400081</v>
      </c>
      <c r="E73" s="25">
        <f t="shared" si="6"/>
        <v>1.0937317565598903E-2</v>
      </c>
      <c r="F73" s="26">
        <v>1459211</v>
      </c>
      <c r="G73" s="26">
        <f>SUM(bdp!AR88:AR91)*1000000</f>
        <v>337495128075.04877</v>
      </c>
      <c r="H73" s="46">
        <f t="shared" si="3"/>
        <v>231286.03613531476</v>
      </c>
      <c r="I73" s="23">
        <f t="shared" si="10"/>
        <v>-4.366560032834188E-2</v>
      </c>
      <c r="J73" s="25">
        <v>-3.0000000000000001E-3</v>
      </c>
      <c r="K73" s="25">
        <v>0.15470822605400081</v>
      </c>
      <c r="L73" s="25">
        <f t="shared" si="7"/>
        <v>1.0937317565598903E-2</v>
      </c>
      <c r="M73" s="26">
        <v>1459211</v>
      </c>
      <c r="N73" s="26">
        <f>SUM(bdp!AU88:AU91)*1000000</f>
        <v>337495128075.04877</v>
      </c>
      <c r="O73" s="46">
        <f t="shared" si="4"/>
        <v>231286.03613531476</v>
      </c>
      <c r="P73" s="23">
        <f t="shared" si="11"/>
        <v>-4.366560032834188E-2</v>
      </c>
      <c r="Q73" s="25">
        <v>-3.0000000000000001E-3</v>
      </c>
      <c r="R73" s="25">
        <v>0.15470822605400081</v>
      </c>
      <c r="S73" s="25">
        <f t="shared" si="8"/>
        <v>1.0937317565598903E-2</v>
      </c>
      <c r="T73" s="26">
        <v>1459211</v>
      </c>
      <c r="U73" s="26">
        <f>SUM(bdp!AX88:AX91)*1000000</f>
        <v>337495128075.04877</v>
      </c>
      <c r="V73" s="46">
        <f t="shared" si="5"/>
        <v>231286.03613531476</v>
      </c>
      <c r="W73" s="31"/>
      <c r="X73" s="21">
        <v>42277</v>
      </c>
      <c r="Y73" s="36">
        <v>7636.4493239799385</v>
      </c>
      <c r="Z73" s="36">
        <v>7636.4493239799385</v>
      </c>
      <c r="AA73" s="36">
        <v>7636.4493239799385</v>
      </c>
    </row>
    <row r="74" spans="1:27" ht="14.25" customHeight="1">
      <c r="A74" s="21">
        <v>42369</v>
      </c>
      <c r="B74" s="23">
        <f t="shared" si="9"/>
        <v>-3.9898269610761261E-2</v>
      </c>
      <c r="C74" s="25">
        <v>-3.2500000000000003E-3</v>
      </c>
      <c r="D74" s="25">
        <v>0.17225642594526883</v>
      </c>
      <c r="E74" s="25">
        <f t="shared" si="6"/>
        <v>1.3436041471347249E-2</v>
      </c>
      <c r="F74" s="26">
        <v>1413637</v>
      </c>
      <c r="G74" s="26">
        <f>SUM(bdp!AR89:AR92)*1000000</f>
        <v>339696443394.19916</v>
      </c>
      <c r="H74" s="46">
        <f t="shared" si="3"/>
        <v>240299.62670346006</v>
      </c>
      <c r="I74" s="23">
        <f t="shared" si="10"/>
        <v>-3.9898269610761261E-2</v>
      </c>
      <c r="J74" s="25">
        <v>-3.2500000000000003E-3</v>
      </c>
      <c r="K74" s="25">
        <v>0.17225642594526883</v>
      </c>
      <c r="L74" s="25">
        <f t="shared" si="7"/>
        <v>1.3436041471347249E-2</v>
      </c>
      <c r="M74" s="26">
        <v>1413637</v>
      </c>
      <c r="N74" s="26">
        <f>SUM(bdp!AU89:AU92)*1000000</f>
        <v>339696443394.19916</v>
      </c>
      <c r="O74" s="46">
        <f t="shared" si="4"/>
        <v>240299.62670346006</v>
      </c>
      <c r="P74" s="23">
        <f t="shared" si="11"/>
        <v>-3.9898269610761261E-2</v>
      </c>
      <c r="Q74" s="25">
        <v>-3.2500000000000003E-3</v>
      </c>
      <c r="R74" s="25">
        <v>0.17225642594526883</v>
      </c>
      <c r="S74" s="25">
        <f t="shared" si="8"/>
        <v>1.3436041471347249E-2</v>
      </c>
      <c r="T74" s="26">
        <v>1413637</v>
      </c>
      <c r="U74" s="26">
        <f>SUM(bdp!AX89:AX92)*1000000</f>
        <v>339696443394.19916</v>
      </c>
      <c r="V74" s="46">
        <f t="shared" si="5"/>
        <v>240299.62670346006</v>
      </c>
      <c r="W74" s="31"/>
      <c r="X74" s="21">
        <v>42369</v>
      </c>
      <c r="Y74" s="36">
        <v>7682.2286796340877</v>
      </c>
      <c r="Z74" s="36">
        <v>7682.2286796340877</v>
      </c>
      <c r="AA74" s="36">
        <v>7682.2286796340877</v>
      </c>
    </row>
    <row r="75" spans="1:27" ht="14.25" customHeight="1">
      <c r="A75" s="21">
        <v>42460</v>
      </c>
      <c r="B75" s="23">
        <f t="shared" si="9"/>
        <v>1.9532965554471371E-2</v>
      </c>
      <c r="C75" s="25">
        <v>-7.7499999999999999E-3</v>
      </c>
      <c r="D75" s="25">
        <v>0.16500000000000001</v>
      </c>
      <c r="E75" s="25">
        <f t="shared" si="6"/>
        <v>6.969698886003739E-3</v>
      </c>
      <c r="F75" s="26">
        <v>1425201</v>
      </c>
      <c r="G75" s="26">
        <f>SUM(bdp!AR90:AR93)*1000000</f>
        <v>341286062558.07458</v>
      </c>
      <c r="H75" s="46">
        <f t="shared" si="3"/>
        <v>239465.21407020805</v>
      </c>
      <c r="I75" s="23">
        <f t="shared" si="10"/>
        <v>1.9532965554471371E-2</v>
      </c>
      <c r="J75" s="25">
        <v>-7.7499999999999999E-3</v>
      </c>
      <c r="K75" s="25">
        <v>0.16500000000000001</v>
      </c>
      <c r="L75" s="25">
        <f t="shared" si="7"/>
        <v>6.969698886003739E-3</v>
      </c>
      <c r="M75" s="26">
        <v>1425201</v>
      </c>
      <c r="N75" s="26">
        <f>SUM(bdp!AU90:AU93)*1000000</f>
        <v>341286062558.07458</v>
      </c>
      <c r="O75" s="46">
        <f t="shared" si="4"/>
        <v>239465.21407020805</v>
      </c>
      <c r="P75" s="23">
        <f t="shared" si="11"/>
        <v>1.9532965554471371E-2</v>
      </c>
      <c r="Q75" s="25">
        <v>-7.7499999999999999E-3</v>
      </c>
      <c r="R75" s="25">
        <v>0.16500000000000001</v>
      </c>
      <c r="S75" s="25">
        <f t="shared" si="8"/>
        <v>6.969698886003739E-3</v>
      </c>
      <c r="T75" s="26">
        <v>1425201</v>
      </c>
      <c r="U75" s="26">
        <f>SUM(bdp!AX90:AX93)*1000000</f>
        <v>341286062558.07458</v>
      </c>
      <c r="V75" s="46">
        <f t="shared" si="5"/>
        <v>239465.21407020805</v>
      </c>
      <c r="W75" s="31"/>
      <c r="X75" s="21">
        <v>42460</v>
      </c>
      <c r="Y75" s="36">
        <v>7706.3079340249724</v>
      </c>
      <c r="Z75" s="36">
        <v>7706.3079340249724</v>
      </c>
      <c r="AA75" s="36">
        <v>7706.3079340249724</v>
      </c>
    </row>
    <row r="76" spans="1:27" ht="14.25" customHeight="1">
      <c r="A76" s="21">
        <v>42551</v>
      </c>
      <c r="B76" s="23">
        <f t="shared" si="9"/>
        <v>1.9483546358210369E-2</v>
      </c>
      <c r="C76" s="25">
        <v>-1.175E-2</v>
      </c>
      <c r="D76" s="25">
        <v>0.13</v>
      </c>
      <c r="E76" s="25">
        <f t="shared" si="6"/>
        <v>8.6156707815987499E-3</v>
      </c>
      <c r="F76" s="26">
        <v>1498922</v>
      </c>
      <c r="G76" s="26">
        <f>SUM(bdp!AR91:AR94)*1000000</f>
        <v>343617490827.34015</v>
      </c>
      <c r="H76" s="46">
        <f t="shared" si="3"/>
        <v>229243.07657592601</v>
      </c>
      <c r="I76" s="23">
        <f t="shared" si="10"/>
        <v>1.9483546358210369E-2</v>
      </c>
      <c r="J76" s="25">
        <v>-1.175E-2</v>
      </c>
      <c r="K76" s="25">
        <v>0.13</v>
      </c>
      <c r="L76" s="25">
        <f t="shared" si="7"/>
        <v>8.6156707815987499E-3</v>
      </c>
      <c r="M76" s="26">
        <v>1498922</v>
      </c>
      <c r="N76" s="26">
        <f>SUM(bdp!AU91:AU94)*1000000</f>
        <v>343617490827.34015</v>
      </c>
      <c r="O76" s="46">
        <f t="shared" si="4"/>
        <v>229243.07657592601</v>
      </c>
      <c r="P76" s="23">
        <f t="shared" si="11"/>
        <v>1.9483546358210369E-2</v>
      </c>
      <c r="Q76" s="25">
        <v>-1.175E-2</v>
      </c>
      <c r="R76" s="25">
        <v>0.13</v>
      </c>
      <c r="S76" s="25">
        <f t="shared" si="8"/>
        <v>8.6156707815987499E-3</v>
      </c>
      <c r="T76" s="26">
        <v>1498922</v>
      </c>
      <c r="U76" s="26">
        <f>SUM(bdp!AX91:AX94)*1000000</f>
        <v>343617490827.34015</v>
      </c>
      <c r="V76" s="46">
        <f t="shared" si="5"/>
        <v>229243.07657592601</v>
      </c>
      <c r="W76" s="31"/>
      <c r="X76" s="21">
        <v>42551</v>
      </c>
      <c r="Y76" s="36">
        <v>7730.0790919387155</v>
      </c>
      <c r="Z76" s="36">
        <v>7730.0790919387155</v>
      </c>
      <c r="AA76" s="36">
        <v>7730.0790919387155</v>
      </c>
    </row>
    <row r="77" spans="1:27" ht="14.25" customHeight="1">
      <c r="A77" s="21">
        <v>42643</v>
      </c>
      <c r="B77" s="23">
        <f t="shared" si="9"/>
        <v>1.2541411130300828E-2</v>
      </c>
      <c r="C77" s="25">
        <v>-1.2E-2</v>
      </c>
      <c r="D77" s="25">
        <v>0.126</v>
      </c>
      <c r="E77" s="25">
        <f t="shared" si="6"/>
        <v>1.1191501307783236E-2</v>
      </c>
      <c r="F77" s="26">
        <v>1488807</v>
      </c>
      <c r="G77" s="26">
        <f>SUM(bdp!AR92:AR95)*1000000</f>
        <v>348193954178.0661</v>
      </c>
      <c r="H77" s="46">
        <f t="shared" si="3"/>
        <v>233874.47411119513</v>
      </c>
      <c r="I77" s="23">
        <f t="shared" si="10"/>
        <v>1.2541411130300828E-2</v>
      </c>
      <c r="J77" s="25">
        <v>-1.2E-2</v>
      </c>
      <c r="K77" s="25">
        <v>0.126</v>
      </c>
      <c r="L77" s="25">
        <f t="shared" si="7"/>
        <v>1.1191501307783236E-2</v>
      </c>
      <c r="M77" s="26">
        <v>1488807</v>
      </c>
      <c r="N77" s="26">
        <f>SUM(bdp!AU92:AU95)*1000000</f>
        <v>348193954178.0661</v>
      </c>
      <c r="O77" s="46">
        <f t="shared" si="4"/>
        <v>233874.47411119513</v>
      </c>
      <c r="P77" s="23">
        <f t="shared" si="11"/>
        <v>1.2541411130300828E-2</v>
      </c>
      <c r="Q77" s="25">
        <v>-1.2E-2</v>
      </c>
      <c r="R77" s="25">
        <v>0.126</v>
      </c>
      <c r="S77" s="25">
        <f t="shared" si="8"/>
        <v>1.1191501307783236E-2</v>
      </c>
      <c r="T77" s="26">
        <v>1488807</v>
      </c>
      <c r="U77" s="26">
        <f>SUM(bdp!AX92:AX95)*1000000</f>
        <v>348193954178.0661</v>
      </c>
      <c r="V77" s="46">
        <f t="shared" si="5"/>
        <v>233874.47411119513</v>
      </c>
      <c r="W77" s="292"/>
      <c r="X77" s="21">
        <v>42643</v>
      </c>
      <c r="Y77" s="36">
        <v>7732.2211745276791</v>
      </c>
      <c r="Z77" s="36">
        <v>7732.2211745276791</v>
      </c>
      <c r="AA77" s="36">
        <v>7732.2211745276791</v>
      </c>
    </row>
    <row r="78" spans="1:27" ht="14.25" customHeight="1">
      <c r="A78" s="21">
        <v>42735</v>
      </c>
      <c r="B78" s="23">
        <f t="shared" si="9"/>
        <v>1.984059976565411E-2</v>
      </c>
      <c r="C78" s="25">
        <v>-0.01</v>
      </c>
      <c r="D78" s="25">
        <v>0.14099999999999999</v>
      </c>
      <c r="E78" s="25">
        <f t="shared" si="6"/>
        <v>1.4713805726064288E-2</v>
      </c>
      <c r="F78" s="26">
        <v>1440188</v>
      </c>
      <c r="G78" s="26">
        <f>SUM(bdp!AR93:AR96)*1000000</f>
        <v>351168743212.18219</v>
      </c>
      <c r="H78" s="46">
        <f t="shared" si="3"/>
        <v>243835.34872682052</v>
      </c>
      <c r="I78" s="23">
        <f t="shared" si="10"/>
        <v>1.984059976565411E-2</v>
      </c>
      <c r="J78" s="25">
        <v>-0.01</v>
      </c>
      <c r="K78" s="25">
        <v>0.14099999999999999</v>
      </c>
      <c r="L78" s="25">
        <f t="shared" si="7"/>
        <v>1.4713805726064288E-2</v>
      </c>
      <c r="M78" s="26">
        <v>1440188</v>
      </c>
      <c r="N78" s="26">
        <f>SUM(bdp!AU93:AU96)*1000000</f>
        <v>351168743212.18219</v>
      </c>
      <c r="O78" s="46">
        <f t="shared" si="4"/>
        <v>243835.34872682052</v>
      </c>
      <c r="P78" s="23">
        <f t="shared" si="11"/>
        <v>1.984059976565411E-2</v>
      </c>
      <c r="Q78" s="25">
        <v>-0.01</v>
      </c>
      <c r="R78" s="25">
        <v>0.14099999999999999</v>
      </c>
      <c r="S78" s="25">
        <f t="shared" si="8"/>
        <v>1.4713805726064288E-2</v>
      </c>
      <c r="T78" s="26">
        <v>1440188</v>
      </c>
      <c r="U78" s="26">
        <f>SUM(bdp!AX93:AX96)*1000000</f>
        <v>351168743212.18219</v>
      </c>
      <c r="V78" s="46">
        <f t="shared" si="5"/>
        <v>243835.34872682052</v>
      </c>
      <c r="W78" s="292"/>
      <c r="X78" s="21">
        <v>42735</v>
      </c>
      <c r="Y78" s="36">
        <v>7834.6487041749378</v>
      </c>
      <c r="Z78" s="36">
        <v>7834.6487041749378</v>
      </c>
      <c r="AA78" s="36">
        <v>7834.6487041749378</v>
      </c>
    </row>
    <row r="79" spans="1:27" ht="14.25" customHeight="1">
      <c r="A79" s="21">
        <v>42825</v>
      </c>
      <c r="B79" s="23">
        <f t="shared" si="9"/>
        <v>3.4599141067207739E-2</v>
      </c>
      <c r="C79" s="25">
        <v>-2.9999999999999996E-3</v>
      </c>
      <c r="D79" s="25">
        <v>0.13600000000000001</v>
      </c>
      <c r="E79" s="25">
        <f t="shared" si="6"/>
        <v>1.7313373619612937E-2</v>
      </c>
      <c r="F79" s="26">
        <v>1452052</v>
      </c>
      <c r="G79" s="26">
        <f>SUM(bdp!AR94:AR97)*1000000</f>
        <v>353736079056.09363</v>
      </c>
      <c r="H79" s="46">
        <f t="shared" si="3"/>
        <v>243611.16479030615</v>
      </c>
      <c r="I79" s="23">
        <f t="shared" si="10"/>
        <v>3.4599141067207739E-2</v>
      </c>
      <c r="J79" s="25">
        <v>-2.9999999999999996E-3</v>
      </c>
      <c r="K79" s="25">
        <v>0.13600000000000001</v>
      </c>
      <c r="L79" s="25">
        <f t="shared" si="7"/>
        <v>1.7313373619612937E-2</v>
      </c>
      <c r="M79" s="26">
        <v>1452052</v>
      </c>
      <c r="N79" s="26">
        <f>SUM(bdp!AU94:AU97)*1000000</f>
        <v>353736079056.09363</v>
      </c>
      <c r="O79" s="46">
        <f t="shared" si="4"/>
        <v>243611.16479030615</v>
      </c>
      <c r="P79" s="23">
        <f t="shared" si="11"/>
        <v>3.4599141067207739E-2</v>
      </c>
      <c r="Q79" s="25">
        <v>-2.9999999999999996E-3</v>
      </c>
      <c r="R79" s="25">
        <v>0.13600000000000001</v>
      </c>
      <c r="S79" s="25">
        <f t="shared" si="8"/>
        <v>1.7313373619612937E-2</v>
      </c>
      <c r="T79" s="26">
        <v>1452052</v>
      </c>
      <c r="U79" s="26">
        <f>SUM(bdp!AX94:AX97)*1000000</f>
        <v>353736079056.09363</v>
      </c>
      <c r="V79" s="46">
        <f t="shared" si="5"/>
        <v>243611.16479030615</v>
      </c>
      <c r="W79" s="292"/>
      <c r="X79" s="21">
        <v>42825</v>
      </c>
      <c r="Y79" s="36">
        <v>7972.9395693416445</v>
      </c>
      <c r="Z79" s="36">
        <v>7972.9395693416445</v>
      </c>
      <c r="AA79" s="36">
        <v>7972.9395693416445</v>
      </c>
    </row>
    <row r="80" spans="1:27" ht="14.25" customHeight="1">
      <c r="A80" s="21">
        <v>42916</v>
      </c>
      <c r="B80" s="23">
        <f t="shared" si="9"/>
        <v>3.4408831137661355E-2</v>
      </c>
      <c r="C80" s="25">
        <v>2.7500000000000072E-3</v>
      </c>
      <c r="D80" s="25">
        <v>0.10099999999999999</v>
      </c>
      <c r="E80" s="25">
        <f t="shared" si="6"/>
        <v>2.4061031642301556E-2</v>
      </c>
      <c r="F80" s="26">
        <v>1525457</v>
      </c>
      <c r="G80" s="26">
        <f>SUM(bdp!AR95:AR98)*1000000</f>
        <v>358114609598.1601</v>
      </c>
      <c r="H80" s="46">
        <f t="shared" si="3"/>
        <v>234758.9014951979</v>
      </c>
      <c r="I80" s="23">
        <f t="shared" si="10"/>
        <v>3.4408831137661355E-2</v>
      </c>
      <c r="J80" s="25">
        <v>2.7500000000000072E-3</v>
      </c>
      <c r="K80" s="25">
        <v>0.10099999999999999</v>
      </c>
      <c r="L80" s="25">
        <f t="shared" si="7"/>
        <v>2.4061031642301556E-2</v>
      </c>
      <c r="M80" s="26">
        <v>1525457</v>
      </c>
      <c r="N80" s="26">
        <f>SUM(bdp!AU95:AU98)*1000000</f>
        <v>358114609598.1601</v>
      </c>
      <c r="O80" s="46">
        <f t="shared" si="4"/>
        <v>234758.9014951979</v>
      </c>
      <c r="P80" s="23">
        <f t="shared" si="11"/>
        <v>3.4408831137661355E-2</v>
      </c>
      <c r="Q80" s="25">
        <v>2.7500000000000072E-3</v>
      </c>
      <c r="R80" s="25">
        <v>0.10099999999999999</v>
      </c>
      <c r="S80" s="25">
        <f t="shared" si="8"/>
        <v>2.4061031642301556E-2</v>
      </c>
      <c r="T80" s="26">
        <v>1525457</v>
      </c>
      <c r="U80" s="26">
        <f>SUM(bdp!AX95:AX98)*1000000</f>
        <v>358114609598.1601</v>
      </c>
      <c r="V80" s="46">
        <f t="shared" si="5"/>
        <v>234758.9014951979</v>
      </c>
      <c r="W80" s="292"/>
      <c r="X80" s="21">
        <v>42916</v>
      </c>
      <c r="Y80" s="36">
        <v>7996.0620780940008</v>
      </c>
      <c r="Z80" s="36">
        <v>7996.0620780940008</v>
      </c>
      <c r="AA80" s="36">
        <v>7996.0620780940008</v>
      </c>
    </row>
    <row r="81" spans="1:30" ht="14.25" customHeight="1">
      <c r="A81" s="21">
        <v>43008</v>
      </c>
      <c r="B81" s="23">
        <f t="shared" si="9"/>
        <v>4.7355946115209768E-2</v>
      </c>
      <c r="C81" s="25">
        <v>8.5000000000000075E-3</v>
      </c>
      <c r="D81" s="25">
        <v>0.10099999999999999</v>
      </c>
      <c r="E81" s="25">
        <f t="shared" si="6"/>
        <v>2.4379497216681312E-2</v>
      </c>
      <c r="F81" s="26">
        <v>1514241</v>
      </c>
      <c r="G81" s="26">
        <f>SUM(bdp!AR96:AR99)*1000000</f>
        <v>362776129197.69318</v>
      </c>
      <c r="H81" s="46">
        <f t="shared" si="3"/>
        <v>239576.21620184183</v>
      </c>
      <c r="I81" s="23">
        <f t="shared" si="10"/>
        <v>4.7355946115209768E-2</v>
      </c>
      <c r="J81" s="25">
        <v>8.5000000000000075E-3</v>
      </c>
      <c r="K81" s="25">
        <v>0.10099999999999999</v>
      </c>
      <c r="L81" s="25">
        <f t="shared" si="7"/>
        <v>2.4379497216681312E-2</v>
      </c>
      <c r="M81" s="26">
        <v>1514241</v>
      </c>
      <c r="N81" s="26">
        <f>SUM(bdp!AU96:AU99)*1000000</f>
        <v>362776129197.69318</v>
      </c>
      <c r="O81" s="46">
        <f t="shared" si="4"/>
        <v>239576.21620184183</v>
      </c>
      <c r="P81" s="23">
        <f t="shared" si="11"/>
        <v>4.7355946115209768E-2</v>
      </c>
      <c r="Q81" s="25">
        <v>8.5000000000000075E-3</v>
      </c>
      <c r="R81" s="25">
        <v>0.10099999999999999</v>
      </c>
      <c r="S81" s="25">
        <f t="shared" si="8"/>
        <v>2.4379497216681312E-2</v>
      </c>
      <c r="T81" s="26">
        <v>1514241</v>
      </c>
      <c r="U81" s="26">
        <f>SUM(bdp!AX96:AX99)*1000000</f>
        <v>362776129197.69318</v>
      </c>
      <c r="V81" s="46">
        <f t="shared" si="5"/>
        <v>239576.21620184183</v>
      </c>
      <c r="W81" s="292"/>
      <c r="X81" s="21">
        <v>43008</v>
      </c>
      <c r="Y81" s="36">
        <v>8098.3878238194957</v>
      </c>
      <c r="Z81" s="36">
        <v>8098.3878238194957</v>
      </c>
      <c r="AA81" s="36">
        <v>8098.3878238194957</v>
      </c>
    </row>
    <row r="82" spans="1:30" ht="14.25" customHeight="1">
      <c r="A82" s="21">
        <v>43100</v>
      </c>
      <c r="B82" s="23">
        <f t="shared" si="9"/>
        <v>5.4568120233337902E-2</v>
      </c>
      <c r="C82" s="25">
        <v>1.1000000000000006E-2</v>
      </c>
      <c r="D82" s="25">
        <v>0.11199999999999999</v>
      </c>
      <c r="E82" s="25">
        <f t="shared" si="6"/>
        <v>1.8790504519410778E-2</v>
      </c>
      <c r="F82" s="26">
        <v>1475044</v>
      </c>
      <c r="G82" s="26">
        <f>SUM(bdp!AR97:AR100)*1000000</f>
        <v>366426208828.93909</v>
      </c>
      <c r="H82" s="46">
        <f t="shared" si="3"/>
        <v>248417.13794906394</v>
      </c>
      <c r="I82" s="23">
        <f t="shared" si="10"/>
        <v>5.4568120233337902E-2</v>
      </c>
      <c r="J82" s="25">
        <v>1.1000000000000006E-2</v>
      </c>
      <c r="K82" s="25">
        <v>0.11199999999999999</v>
      </c>
      <c r="L82" s="25">
        <f t="shared" si="7"/>
        <v>1.8790504519410778E-2</v>
      </c>
      <c r="M82" s="26">
        <v>1475044</v>
      </c>
      <c r="N82" s="26">
        <f>SUM(bdp!AU97:AU100)*1000000</f>
        <v>366426208828.93909</v>
      </c>
      <c r="O82" s="46">
        <f t="shared" si="4"/>
        <v>248417.13794906394</v>
      </c>
      <c r="P82" s="23">
        <f t="shared" si="11"/>
        <v>5.4568120233337902E-2</v>
      </c>
      <c r="Q82" s="25">
        <v>1.1000000000000006E-2</v>
      </c>
      <c r="R82" s="25">
        <v>0.11199999999999999</v>
      </c>
      <c r="S82" s="25">
        <f t="shared" si="8"/>
        <v>1.8790504519410778E-2</v>
      </c>
      <c r="T82" s="26">
        <v>1475044</v>
      </c>
      <c r="U82" s="26">
        <f>SUM(bdp!AX97:AX100)*1000000</f>
        <v>366426208828.93909</v>
      </c>
      <c r="V82" s="46">
        <f t="shared" si="5"/>
        <v>248417.13794906394</v>
      </c>
      <c r="W82" s="292"/>
      <c r="X82" s="21">
        <v>43100</v>
      </c>
      <c r="Y82" s="36">
        <v>8262.170756650321</v>
      </c>
      <c r="Z82" s="36">
        <v>8262.170756650321</v>
      </c>
      <c r="AA82" s="36">
        <v>8262.170756650321</v>
      </c>
    </row>
    <row r="83" spans="1:30" ht="14.25" customHeight="1">
      <c r="A83" s="21">
        <v>43190</v>
      </c>
      <c r="B83" s="23">
        <f t="shared" si="9"/>
        <v>4.1521690189609606E-2</v>
      </c>
      <c r="C83" s="25">
        <v>1.1000000000000008E-2</v>
      </c>
      <c r="D83" s="25">
        <v>0.10800000000000001</v>
      </c>
      <c r="E83" s="25">
        <f t="shared" si="6"/>
        <v>2.0482777644453609E-2</v>
      </c>
      <c r="F83" s="26">
        <v>1489091</v>
      </c>
      <c r="G83" s="26">
        <f>SUM(bdp!AR98:AR101)*1000000</f>
        <v>370189508877.23206</v>
      </c>
      <c r="H83" s="46">
        <f t="shared" si="3"/>
        <v>248600.99811041236</v>
      </c>
      <c r="I83" s="23">
        <f t="shared" si="10"/>
        <v>4.1521690189609606E-2</v>
      </c>
      <c r="J83" s="25">
        <v>1.1000000000000008E-2</v>
      </c>
      <c r="K83" s="25">
        <v>0.10800000000000001</v>
      </c>
      <c r="L83" s="25">
        <f t="shared" si="7"/>
        <v>2.0482777644453609E-2</v>
      </c>
      <c r="M83" s="26">
        <v>1489091</v>
      </c>
      <c r="N83" s="26">
        <f>SUM(bdp!AU98:AU101)*1000000</f>
        <v>370189508877.23206</v>
      </c>
      <c r="O83" s="46">
        <f t="shared" si="4"/>
        <v>248600.99811041236</v>
      </c>
      <c r="P83" s="23">
        <f t="shared" si="11"/>
        <v>4.1521690189609606E-2</v>
      </c>
      <c r="Q83" s="25">
        <v>1.1000000000000008E-2</v>
      </c>
      <c r="R83" s="25">
        <v>0.10800000000000001</v>
      </c>
      <c r="S83" s="25">
        <f t="shared" si="8"/>
        <v>2.0482777644453609E-2</v>
      </c>
      <c r="T83" s="26">
        <v>1489091</v>
      </c>
      <c r="U83" s="26">
        <f>SUM(bdp!AX98:AX101)*1000000</f>
        <v>370189508877.23206</v>
      </c>
      <c r="V83" s="46">
        <f t="shared" si="5"/>
        <v>248600.99811041236</v>
      </c>
      <c r="W83" s="292"/>
      <c r="X83" s="21">
        <v>43190</v>
      </c>
      <c r="Y83" s="36">
        <v>8303.9894960403271</v>
      </c>
      <c r="Z83" s="36">
        <v>8303.9894960403271</v>
      </c>
      <c r="AA83" s="36">
        <v>8303.9894960403271</v>
      </c>
    </row>
    <row r="84" spans="1:30" ht="14.25" customHeight="1">
      <c r="A84" s="21">
        <v>43281</v>
      </c>
      <c r="B84" s="23">
        <f t="shared" si="9"/>
        <v>6.4494672721802315E-2</v>
      </c>
      <c r="C84" s="25">
        <v>1.525E-2</v>
      </c>
      <c r="D84" s="25">
        <v>8.199999999999999E-2</v>
      </c>
      <c r="E84" s="25">
        <f t="shared" si="6"/>
        <v>2.6361693933055985E-2</v>
      </c>
      <c r="F84" s="26">
        <v>1554821</v>
      </c>
      <c r="G84" s="26">
        <f>SUM(bdp!AR99:AR102)*1000000</f>
        <v>374630301005.61725</v>
      </c>
      <c r="H84" s="46">
        <f t="shared" si="3"/>
        <v>240947.54380447476</v>
      </c>
      <c r="I84" s="23">
        <f t="shared" si="10"/>
        <v>6.4494672721802315E-2</v>
      </c>
      <c r="J84" s="25">
        <v>1.525E-2</v>
      </c>
      <c r="K84" s="25">
        <v>8.199999999999999E-2</v>
      </c>
      <c r="L84" s="25">
        <f t="shared" si="7"/>
        <v>2.6361693933055985E-2</v>
      </c>
      <c r="M84" s="26">
        <v>1554821</v>
      </c>
      <c r="N84" s="26">
        <f>SUM(bdp!AU99:AU102)*1000000</f>
        <v>374630301005.61725</v>
      </c>
      <c r="O84" s="46">
        <f t="shared" si="4"/>
        <v>240947.54380447476</v>
      </c>
      <c r="P84" s="23">
        <f t="shared" si="11"/>
        <v>6.4494672721802315E-2</v>
      </c>
      <c r="Q84" s="25">
        <v>1.525E-2</v>
      </c>
      <c r="R84" s="25">
        <v>8.199999999999999E-2</v>
      </c>
      <c r="S84" s="25">
        <f t="shared" si="8"/>
        <v>2.6361693933055985E-2</v>
      </c>
      <c r="T84" s="26">
        <v>1554821</v>
      </c>
      <c r="U84" s="26">
        <f>SUM(bdp!AX99:AX102)*1000000</f>
        <v>374630301005.61725</v>
      </c>
      <c r="V84" s="46">
        <f t="shared" si="5"/>
        <v>240947.54380447476</v>
      </c>
      <c r="W84" s="292"/>
      <c r="X84" s="21">
        <v>43281</v>
      </c>
      <c r="Y84" s="36">
        <v>8511.7654848838883</v>
      </c>
      <c r="Z84" s="36">
        <v>8511.7654848838883</v>
      </c>
      <c r="AA84" s="36">
        <v>8511.7654848838883</v>
      </c>
    </row>
    <row r="85" spans="1:30" ht="14.25" customHeight="1">
      <c r="A85" s="21">
        <v>43373</v>
      </c>
      <c r="B85" s="23">
        <f t="shared" si="9"/>
        <v>4.8266186344143591E-2</v>
      </c>
      <c r="C85" s="25">
        <v>1.525E-2</v>
      </c>
      <c r="D85" s="25">
        <v>7.8E-2</v>
      </c>
      <c r="E85" s="25">
        <f t="shared" si="6"/>
        <v>2.4234347291048453E-2</v>
      </c>
      <c r="F85" s="26">
        <v>1546848</v>
      </c>
      <c r="G85" s="26">
        <f>SUM(bdp!AR100:AR103)*1000000</f>
        <v>379568948952.24957</v>
      </c>
      <c r="H85" s="46">
        <f t="shared" si="3"/>
        <v>245382.18942795257</v>
      </c>
      <c r="I85" s="23">
        <f t="shared" si="10"/>
        <v>4.8266186344143591E-2</v>
      </c>
      <c r="J85" s="25">
        <v>1.525E-2</v>
      </c>
      <c r="K85" s="25">
        <v>7.8E-2</v>
      </c>
      <c r="L85" s="25">
        <f t="shared" si="7"/>
        <v>2.4234347291048453E-2</v>
      </c>
      <c r="M85" s="26">
        <v>1546848</v>
      </c>
      <c r="N85" s="26">
        <f>SUM(bdp!AU100:AU103)*1000000</f>
        <v>379568948952.24957</v>
      </c>
      <c r="O85" s="46">
        <f t="shared" si="4"/>
        <v>245382.18942795257</v>
      </c>
      <c r="P85" s="23">
        <f t="shared" si="11"/>
        <v>4.8266186344143591E-2</v>
      </c>
      <c r="Q85" s="25">
        <v>1.525E-2</v>
      </c>
      <c r="R85" s="25">
        <v>7.8E-2</v>
      </c>
      <c r="S85" s="25">
        <f t="shared" si="8"/>
        <v>2.4234347291048453E-2</v>
      </c>
      <c r="T85" s="26">
        <v>1546848</v>
      </c>
      <c r="U85" s="26">
        <f>SUM(bdp!AX100:AX103)*1000000</f>
        <v>379568948952.24957</v>
      </c>
      <c r="V85" s="46">
        <f t="shared" si="5"/>
        <v>245382.18942795257</v>
      </c>
      <c r="W85" s="292"/>
      <c r="X85" s="21">
        <v>43373</v>
      </c>
      <c r="Y85" s="36">
        <v>8489.2661196111112</v>
      </c>
      <c r="Z85" s="36">
        <v>8489.2661196111112</v>
      </c>
      <c r="AA85" s="36">
        <v>8489.2661196111112</v>
      </c>
    </row>
    <row r="86" spans="1:30" ht="14.25" customHeight="1">
      <c r="A86" s="21">
        <v>43465</v>
      </c>
      <c r="B86" s="23">
        <f t="shared" si="9"/>
        <v>1.0503535982684387E-2</v>
      </c>
      <c r="C86" s="25">
        <v>1.4250000000000001E-2</v>
      </c>
      <c r="D86" s="25">
        <v>8.900000000000001E-2</v>
      </c>
      <c r="E86" s="25">
        <f t="shared" si="6"/>
        <v>2.3033097765843946E-2</v>
      </c>
      <c r="F86" s="26">
        <v>1506912</v>
      </c>
      <c r="G86" s="26">
        <f>SUM(bdp!AR101:AR104)*1000000</f>
        <v>382965039712.4856</v>
      </c>
      <c r="H86" s="46">
        <f t="shared" si="3"/>
        <v>254138.95417415589</v>
      </c>
      <c r="I86" s="23">
        <f t="shared" si="10"/>
        <v>1.0503535982684387E-2</v>
      </c>
      <c r="J86" s="25">
        <v>1.4250000000000001E-2</v>
      </c>
      <c r="K86" s="25">
        <v>8.900000000000001E-2</v>
      </c>
      <c r="L86" s="25">
        <f t="shared" si="7"/>
        <v>2.3033097765843946E-2</v>
      </c>
      <c r="M86" s="26">
        <v>1506912</v>
      </c>
      <c r="N86" s="26">
        <f>SUM(bdp!AU101:AU104)*1000000</f>
        <v>382965039712.4856</v>
      </c>
      <c r="O86" s="46">
        <f t="shared" si="4"/>
        <v>254138.95417415589</v>
      </c>
      <c r="P86" s="23">
        <f t="shared" si="11"/>
        <v>1.0503535982684387E-2</v>
      </c>
      <c r="Q86" s="25">
        <v>1.4250000000000001E-2</v>
      </c>
      <c r="R86" s="25">
        <v>8.900000000000001E-2</v>
      </c>
      <c r="S86" s="25">
        <f t="shared" si="8"/>
        <v>2.3033097765843946E-2</v>
      </c>
      <c r="T86" s="26">
        <v>1506912</v>
      </c>
      <c r="U86" s="26">
        <f>SUM(bdp!AX101:AX104)*1000000</f>
        <v>382965039712.4856</v>
      </c>
      <c r="V86" s="46">
        <f t="shared" si="5"/>
        <v>254138.95417415589</v>
      </c>
      <c r="W86" s="292"/>
      <c r="X86" s="21">
        <v>43465</v>
      </c>
      <c r="Y86" s="36">
        <v>8348.9527644878799</v>
      </c>
      <c r="Z86" s="36">
        <v>8348.9527644878799</v>
      </c>
      <c r="AA86" s="36">
        <v>8348.9527644878799</v>
      </c>
    </row>
    <row r="87" spans="1:30" ht="14.25" customHeight="1">
      <c r="A87" s="21">
        <v>43555</v>
      </c>
      <c r="B87" s="23">
        <f t="shared" si="9"/>
        <v>4.4051410463139318E-2</v>
      </c>
      <c r="C87" s="25">
        <v>1.375E-2</v>
      </c>
      <c r="D87" s="25">
        <v>8.900000000000001E-2</v>
      </c>
      <c r="E87" s="25">
        <f t="shared" si="6"/>
        <v>2.5205086305336355E-2</v>
      </c>
      <c r="F87" s="26">
        <v>1521259</v>
      </c>
      <c r="G87" s="26">
        <f>SUM(bdp!AR102:AR105)*1000000</f>
        <v>387718729302.25836</v>
      </c>
      <c r="H87" s="46">
        <f t="shared" si="3"/>
        <v>254867.00772337805</v>
      </c>
      <c r="I87" s="23">
        <f t="shared" si="10"/>
        <v>4.4051410463139318E-2</v>
      </c>
      <c r="J87" s="25">
        <v>1.375E-2</v>
      </c>
      <c r="K87" s="25">
        <v>8.900000000000001E-2</v>
      </c>
      <c r="L87" s="25">
        <f t="shared" si="7"/>
        <v>2.5205086305336355E-2</v>
      </c>
      <c r="M87" s="26">
        <v>1521259</v>
      </c>
      <c r="N87" s="26">
        <f>SUM(bdp!AU102:AU105)*1000000</f>
        <v>387718729302.25836</v>
      </c>
      <c r="O87" s="46">
        <f t="shared" si="4"/>
        <v>254867.00772337805</v>
      </c>
      <c r="P87" s="23">
        <f t="shared" si="11"/>
        <v>4.4051410463139318E-2</v>
      </c>
      <c r="Q87" s="25">
        <v>1.375E-2</v>
      </c>
      <c r="R87" s="25">
        <v>8.900000000000001E-2</v>
      </c>
      <c r="S87" s="25">
        <f t="shared" si="8"/>
        <v>2.5205086305336355E-2</v>
      </c>
      <c r="T87" s="26">
        <v>1521259</v>
      </c>
      <c r="U87" s="26">
        <f>SUM(bdp!AX102:AX105)*1000000</f>
        <v>387718729302.25836</v>
      </c>
      <c r="V87" s="46">
        <f t="shared" si="5"/>
        <v>254867.00772337805</v>
      </c>
      <c r="W87" s="292"/>
      <c r="X87" s="21">
        <v>43555</v>
      </c>
      <c r="Y87" s="36">
        <v>8669.7919458119977</v>
      </c>
      <c r="Z87" s="36">
        <v>8669.7919458119977</v>
      </c>
      <c r="AA87" s="36">
        <v>8669.7919458119977</v>
      </c>
    </row>
    <row r="88" spans="1:30" ht="14.25" customHeight="1">
      <c r="A88" s="21">
        <v>43646</v>
      </c>
      <c r="B88" s="23">
        <f t="shared" si="9"/>
        <v>2.1162009264757753E-2</v>
      </c>
      <c r="C88" s="25">
        <v>9.2499999999999995E-3</v>
      </c>
      <c r="D88" s="25">
        <v>6.7000000000000004E-2</v>
      </c>
      <c r="E88" s="25">
        <f t="shared" si="6"/>
        <v>1.9351038693286915E-2</v>
      </c>
      <c r="F88" s="26">
        <v>1593583</v>
      </c>
      <c r="G88" s="26">
        <f>SUM(bdp!AR103:AR106)*1000000</f>
        <v>391400126278.20111</v>
      </c>
      <c r="H88" s="46">
        <f t="shared" si="3"/>
        <v>245610.12904768757</v>
      </c>
      <c r="I88" s="23">
        <f t="shared" si="10"/>
        <v>2.1162009264757753E-2</v>
      </c>
      <c r="J88" s="25">
        <v>9.2499999999999995E-3</v>
      </c>
      <c r="K88" s="25">
        <v>6.7000000000000004E-2</v>
      </c>
      <c r="L88" s="25">
        <f t="shared" si="7"/>
        <v>1.9351038693286915E-2</v>
      </c>
      <c r="M88" s="26">
        <v>1593583</v>
      </c>
      <c r="N88" s="26">
        <f>SUM(bdp!AU103:AU106)*1000000</f>
        <v>391400126278.20111</v>
      </c>
      <c r="O88" s="46">
        <f t="shared" si="4"/>
        <v>245610.12904768757</v>
      </c>
      <c r="P88" s="23">
        <f t="shared" si="11"/>
        <v>2.1162009264757753E-2</v>
      </c>
      <c r="Q88" s="25">
        <v>9.2499999999999995E-3</v>
      </c>
      <c r="R88" s="25">
        <v>6.7000000000000004E-2</v>
      </c>
      <c r="S88" s="25">
        <f t="shared" si="8"/>
        <v>1.9351038693286915E-2</v>
      </c>
      <c r="T88" s="26">
        <v>1593583</v>
      </c>
      <c r="U88" s="26">
        <f>SUM(bdp!AX103:AX106)*1000000</f>
        <v>391400126278.20111</v>
      </c>
      <c r="V88" s="46">
        <f t="shared" si="5"/>
        <v>245610.12904768757</v>
      </c>
      <c r="W88" s="292"/>
      <c r="X88" s="21">
        <v>43646</v>
      </c>
      <c r="Y88" s="36">
        <v>8691.8915449344458</v>
      </c>
      <c r="Z88" s="36">
        <v>8691.8915449344458</v>
      </c>
      <c r="AA88" s="36">
        <v>8691.8915449344458</v>
      </c>
    </row>
    <row r="89" spans="1:30" ht="14.25" customHeight="1">
      <c r="A89" s="21">
        <v>43738</v>
      </c>
      <c r="B89" s="23">
        <f t="shared" si="9"/>
        <v>3.7749571122218883E-2</v>
      </c>
      <c r="C89" s="25">
        <v>7.7499999999999999E-3</v>
      </c>
      <c r="D89" s="25">
        <v>6.7000000000000004E-2</v>
      </c>
      <c r="E89" s="25">
        <f t="shared" si="6"/>
        <v>1.789531031876157E-2</v>
      </c>
      <c r="F89" s="26">
        <v>1585676</v>
      </c>
      <c r="G89" s="26">
        <f>SUM(bdp!AR104:AR107)*1000000</f>
        <v>396059653874.10535</v>
      </c>
      <c r="H89" s="46">
        <f t="shared" si="3"/>
        <v>249773.37985446292</v>
      </c>
      <c r="I89" s="23">
        <f t="shared" si="10"/>
        <v>3.7749571122218883E-2</v>
      </c>
      <c r="J89" s="25">
        <v>7.7499999999999999E-3</v>
      </c>
      <c r="K89" s="25">
        <v>6.7000000000000004E-2</v>
      </c>
      <c r="L89" s="25">
        <f t="shared" si="7"/>
        <v>1.789531031876157E-2</v>
      </c>
      <c r="M89" s="26">
        <v>1585676</v>
      </c>
      <c r="N89" s="26">
        <f>SUM(bdp!AU104:AU107)*1000000</f>
        <v>396059653874.10535</v>
      </c>
      <c r="O89" s="46">
        <f t="shared" si="4"/>
        <v>249773.37985446292</v>
      </c>
      <c r="P89" s="23">
        <f t="shared" si="11"/>
        <v>3.7749571122218883E-2</v>
      </c>
      <c r="Q89" s="25">
        <v>7.7499999999999999E-3</v>
      </c>
      <c r="R89" s="25">
        <v>6.7000000000000004E-2</v>
      </c>
      <c r="S89" s="25">
        <f t="shared" si="8"/>
        <v>1.789531031876157E-2</v>
      </c>
      <c r="T89" s="26">
        <v>1585676</v>
      </c>
      <c r="U89" s="26">
        <f>SUM(bdp!AX104:AX107)*1000000</f>
        <v>396059653874.10535</v>
      </c>
      <c r="V89" s="46">
        <f t="shared" si="5"/>
        <v>249773.37985446292</v>
      </c>
      <c r="W89" s="292"/>
      <c r="X89" s="21">
        <v>43738</v>
      </c>
      <c r="Y89" s="36">
        <v>8809.732274768814</v>
      </c>
      <c r="Z89" s="36">
        <v>8809.732274768814</v>
      </c>
      <c r="AA89" s="36">
        <v>8809.732274768814</v>
      </c>
    </row>
    <row r="90" spans="1:30" ht="14.25" customHeight="1">
      <c r="A90" s="21">
        <v>43830</v>
      </c>
      <c r="B90" s="23">
        <f>Y90/Y86-1</f>
        <v>5.611200615055556E-2</v>
      </c>
      <c r="C90" s="25">
        <v>9.2499999999999995E-3</v>
      </c>
      <c r="D90" s="25">
        <v>7.8807323919736189E-2</v>
      </c>
      <c r="E90" s="25">
        <f t="shared" si="6"/>
        <v>1.8867457281276367E-2</v>
      </c>
      <c r="F90" s="26">
        <v>1545192</v>
      </c>
      <c r="G90" s="26">
        <f>SUM(bdp!AR105:AR108)*1000000</f>
        <v>400102606315.64392</v>
      </c>
      <c r="H90" s="46">
        <f t="shared" si="3"/>
        <v>258933.91003554504</v>
      </c>
      <c r="I90" s="23">
        <f>Z90/Z86-1</f>
        <v>5.611200615055556E-2</v>
      </c>
      <c r="J90" s="25">
        <v>9.2499999999999995E-3</v>
      </c>
      <c r="K90" s="25">
        <v>7.8807323919736189E-2</v>
      </c>
      <c r="L90" s="25">
        <f t="shared" si="7"/>
        <v>1.8867457281276367E-2</v>
      </c>
      <c r="M90" s="26">
        <v>1545192</v>
      </c>
      <c r="N90" s="26">
        <f>SUM(bdp!AU105:AU108)*1000000</f>
        <v>400102606315.64392</v>
      </c>
      <c r="O90" s="46">
        <f t="shared" si="4"/>
        <v>258933.91003554504</v>
      </c>
      <c r="P90" s="23">
        <f>AA90/AA86-1</f>
        <v>5.611200615055556E-2</v>
      </c>
      <c r="Q90" s="25">
        <v>9.2499999999999995E-3</v>
      </c>
      <c r="R90" s="25">
        <v>7.8807323919736189E-2</v>
      </c>
      <c r="S90" s="25">
        <f t="shared" si="8"/>
        <v>1.8867457281276367E-2</v>
      </c>
      <c r="T90" s="26">
        <v>1545192</v>
      </c>
      <c r="U90" s="26">
        <f>SUM(bdp!AX105:AX108)*1000000</f>
        <v>400102606315.64392</v>
      </c>
      <c r="V90" s="46">
        <f t="shared" si="5"/>
        <v>258933.91003554504</v>
      </c>
      <c r="W90" s="292"/>
      <c r="X90" s="21">
        <v>43830</v>
      </c>
      <c r="Y90" s="36">
        <v>8817.4292533595217</v>
      </c>
      <c r="Z90" s="36">
        <v>8817.4292533595217</v>
      </c>
      <c r="AA90" s="36">
        <v>8817.4292533595217</v>
      </c>
    </row>
    <row r="91" spans="1:30" ht="14.25" customHeight="1">
      <c r="A91" s="85">
        <v>43921</v>
      </c>
      <c r="B91" s="86">
        <f t="shared" ref="B91:B94" si="12">$B$99+$B$100*C91+$B$101*D91+$B$102*E91</f>
        <v>2.7195887531303323E-2</v>
      </c>
      <c r="C91" s="87">
        <f>inflacija!C79/100</f>
        <v>1.3433892836233386E-2</v>
      </c>
      <c r="D91" s="87">
        <f>nezaposlenost!V84/100</f>
        <v>8.3144990432344343E-2</v>
      </c>
      <c r="E91" s="87">
        <f t="shared" si="6"/>
        <v>9.3162021068877721E-3</v>
      </c>
      <c r="F91" s="88">
        <f>nezaposlenost!BC27</f>
        <v>1516355.3272536204</v>
      </c>
      <c r="G91" s="88">
        <f>SUM(bdp!AR106:AR109)*1000000</f>
        <v>390069367701.28156</v>
      </c>
      <c r="H91" s="89">
        <f t="shared" si="3"/>
        <v>257241.40027770674</v>
      </c>
      <c r="I91" s="86">
        <f t="shared" ref="I91:I94" si="13">$B$99+$B$100*J91+$B$101*K91+$B$102*L91</f>
        <v>2.7089726262174631E-2</v>
      </c>
      <c r="J91" s="87">
        <f>inflacija!G79/100</f>
        <v>1.303223085810701E-2</v>
      </c>
      <c r="K91" s="87">
        <f>nezaposlenost!W84/100</f>
        <v>8.3144990432344343E-2</v>
      </c>
      <c r="L91" s="87">
        <f t="shared" si="7"/>
        <v>9.3162021068877721E-3</v>
      </c>
      <c r="M91" s="88">
        <f>nezaposlenost!BG27</f>
        <v>1516355.3272536204</v>
      </c>
      <c r="N91" s="88">
        <f>SUM(bdp!AU106:AU109)*1000000</f>
        <v>390069367701.28156</v>
      </c>
      <c r="O91" s="89">
        <f t="shared" si="4"/>
        <v>257241.40027770674</v>
      </c>
      <c r="P91" s="86">
        <f t="shared" ref="P91:P94" si="14">$B$99+$B$100*Q91+$B$101*R91+$B$102*S91</f>
        <v>2.7000741766576505E-2</v>
      </c>
      <c r="Q91" s="87">
        <f>inflacija!J79/100</f>
        <v>1.2695557334722572E-2</v>
      </c>
      <c r="R91" s="87">
        <f>nezaposlenost!X84/100</f>
        <v>8.3144990432344343E-2</v>
      </c>
      <c r="S91" s="87">
        <f t="shared" si="8"/>
        <v>9.3162021068877721E-3</v>
      </c>
      <c r="T91" s="88">
        <f>nezaposlenost!BK27</f>
        <v>1516355.3272536204</v>
      </c>
      <c r="U91" s="88">
        <f>SUM(bdp!AX106:AX109)*1000000</f>
        <v>390069367701.28156</v>
      </c>
      <c r="V91" s="89">
        <f t="shared" si="5"/>
        <v>257241.40027770674</v>
      </c>
      <c r="W91" s="90"/>
      <c r="X91" s="85">
        <v>43921</v>
      </c>
      <c r="Y91" s="94">
        <f t="shared" ref="Y91:Y94" si="15">Y87*(1+B91)</f>
        <v>8905.5746324901011</v>
      </c>
      <c r="Z91" s="94">
        <f t="shared" ref="Z91:Z94" si="16">Z87*(1+I91)</f>
        <v>8904.65423637405</v>
      </c>
      <c r="AA91" s="94">
        <f t="shared" ref="AA91:AA94" si="17">AA87*(1+P91)</f>
        <v>8903.8827593108126</v>
      </c>
      <c r="AB91" s="97"/>
      <c r="AC91" s="97"/>
      <c r="AD91" s="97"/>
    </row>
    <row r="92" spans="1:30" ht="14.25" customHeight="1">
      <c r="A92" s="85">
        <v>44012</v>
      </c>
      <c r="B92" s="86">
        <f t="shared" si="12"/>
        <v>2.4659376097597762E-3</v>
      </c>
      <c r="C92" s="87">
        <f>inflacija!C80/100</f>
        <v>3.9667322440439289E-3</v>
      </c>
      <c r="D92" s="87">
        <f>nezaposlenost!V85/100</f>
        <v>0.12613774987784068</v>
      </c>
      <c r="E92" s="87">
        <f t="shared" si="6"/>
        <v>-2.7825028798197371E-3</v>
      </c>
      <c r="F92" s="88">
        <f>nezaposlenost!BD27</f>
        <v>1445251.0641605351</v>
      </c>
      <c r="G92" s="88">
        <f>SUM(bdp!AR107:AR110)*1000000</f>
        <v>353980600056.73932</v>
      </c>
      <c r="H92" s="89">
        <f t="shared" si="3"/>
        <v>244926.7181562995</v>
      </c>
      <c r="I92" s="86">
        <f t="shared" si="13"/>
        <v>2.352905386227293E-3</v>
      </c>
      <c r="J92" s="87">
        <f>inflacija!G80/100</f>
        <v>3.5390739570933215E-3</v>
      </c>
      <c r="K92" s="87">
        <f>nezaposlenost!W85/100</f>
        <v>0.12613774987784068</v>
      </c>
      <c r="L92" s="87">
        <f t="shared" si="7"/>
        <v>-2.7825028798197371E-3</v>
      </c>
      <c r="M92" s="88">
        <f>nezaposlenost!BH27</f>
        <v>1445251.0641605351</v>
      </c>
      <c r="N92" s="88">
        <f>SUM(bdp!AU107:AU110)*1000000</f>
        <v>353980600056.73932</v>
      </c>
      <c r="O92" s="89">
        <f t="shared" si="4"/>
        <v>244926.7181562995</v>
      </c>
      <c r="P92" s="86">
        <f t="shared" si="14"/>
        <v>2.2581601007845677E-3</v>
      </c>
      <c r="Q92" s="87">
        <f>inflacija!J80/100</f>
        <v>3.1806044410314805E-3</v>
      </c>
      <c r="R92" s="87">
        <f>nezaposlenost!X85/100</f>
        <v>0.12613774987784068</v>
      </c>
      <c r="S92" s="87">
        <f t="shared" si="8"/>
        <v>-2.7825028798197371E-3</v>
      </c>
      <c r="T92" s="88">
        <f>nezaposlenost!BL27</f>
        <v>1445251.0641605351</v>
      </c>
      <c r="U92" s="88">
        <f>SUM(bdp!AX107:AX110)*1000000</f>
        <v>353980600056.73932</v>
      </c>
      <c r="V92" s="89">
        <f t="shared" si="5"/>
        <v>244926.7181562995</v>
      </c>
      <c r="W92" s="90"/>
      <c r="X92" s="85">
        <v>44012</v>
      </c>
      <c r="Y92" s="94">
        <f t="shared" si="15"/>
        <v>8713.3252071950519</v>
      </c>
      <c r="Z92" s="94">
        <f t="shared" si="16"/>
        <v>8712.3427433670258</v>
      </c>
      <c r="AA92" s="94">
        <f t="shared" si="17"/>
        <v>8711.5192276215621</v>
      </c>
      <c r="AB92" s="97"/>
      <c r="AC92" s="97"/>
      <c r="AD92" s="97"/>
    </row>
    <row r="93" spans="1:30" ht="14.25" customHeight="1">
      <c r="A93" s="85">
        <v>44104</v>
      </c>
      <c r="B93" s="86">
        <f t="shared" si="12"/>
        <v>-7.5340354149558031E-2</v>
      </c>
      <c r="C93" s="87">
        <f>inflacija!C81/100</f>
        <v>-2.6620144449791528E-3</v>
      </c>
      <c r="D93" s="87">
        <f>nezaposlenost!V86/100</f>
        <v>0.15500609898586351</v>
      </c>
      <c r="E93" s="87">
        <f t="shared" si="6"/>
        <v>-8.10988300243628E-2</v>
      </c>
      <c r="F93" s="88">
        <f>nezaposlenost!BE27</f>
        <v>1397506.6830946461</v>
      </c>
      <c r="G93" s="88">
        <f>SUM(bdp!AR108:AR111)*1000000</f>
        <v>320751612624.5813</v>
      </c>
      <c r="H93" s="89">
        <f t="shared" si="3"/>
        <v>229517.05097703522</v>
      </c>
      <c r="I93" s="86">
        <f t="shared" si="13"/>
        <v>-6.5810299386753063E-2</v>
      </c>
      <c r="J93" s="87">
        <f>inflacija!G81/100</f>
        <v>-1.0988959199354608E-3</v>
      </c>
      <c r="K93" s="87">
        <f>nezaposlenost!W86/100</f>
        <v>0.14496425006485922</v>
      </c>
      <c r="L93" s="87">
        <f t="shared" si="7"/>
        <v>-7.3765788502232255E-2</v>
      </c>
      <c r="M93" s="88">
        <f>nezaposlenost!BI27</f>
        <v>1414114.5556022315</v>
      </c>
      <c r="N93" s="88">
        <f>SUM(bdp!AU108:AU111)*1000000</f>
        <v>327153492737.15387</v>
      </c>
      <c r="O93" s="89">
        <f t="shared" si="4"/>
        <v>231348.64954263088</v>
      </c>
      <c r="P93" s="86">
        <f t="shared" si="14"/>
        <v>-5.4374640150447483E-2</v>
      </c>
      <c r="Q93" s="87">
        <f>inflacija!J81/100</f>
        <v>1.9312823654155765E-4</v>
      </c>
      <c r="R93" s="87">
        <f>nezaposlenost!X86/100</f>
        <v>0.13663762787332462</v>
      </c>
      <c r="S93" s="87">
        <f t="shared" si="8"/>
        <v>-6.3626744013827508E-2</v>
      </c>
      <c r="T93" s="88">
        <f>nezaposlenost!BM27</f>
        <v>1427885.6729396561</v>
      </c>
      <c r="U93" s="88">
        <f>SUM(bdp!AX108:AX111)*1000000</f>
        <v>333955490356.76227</v>
      </c>
      <c r="V93" s="89">
        <f t="shared" si="5"/>
        <v>233881.1129529945</v>
      </c>
      <c r="W93" s="90"/>
      <c r="X93" s="85">
        <v>44104</v>
      </c>
      <c r="Y93" s="94">
        <f t="shared" si="15"/>
        <v>8146.0039252249398</v>
      </c>
      <c r="Z93" s="94">
        <f t="shared" si="16"/>
        <v>8229.9611562491373</v>
      </c>
      <c r="AA93" s="94">
        <f t="shared" si="17"/>
        <v>8330.7062525064775</v>
      </c>
      <c r="AB93" s="97"/>
      <c r="AC93" s="97"/>
      <c r="AD93" s="97"/>
    </row>
    <row r="94" spans="1:30" ht="14.25" customHeight="1" thickBot="1">
      <c r="A94" s="85">
        <v>44196</v>
      </c>
      <c r="B94" s="110">
        <f t="shared" si="12"/>
        <v>-0.13247688051731252</v>
      </c>
      <c r="C94" s="111">
        <f>inflacija!C82/100</f>
        <v>-4.7105108787512309E-3</v>
      </c>
      <c r="D94" s="111">
        <f>nezaposlenost!V87/100</f>
        <v>0.16107365973375573</v>
      </c>
      <c r="E94" s="111">
        <f t="shared" si="6"/>
        <v>-0.14419046442762973</v>
      </c>
      <c r="F94" s="113">
        <f>nezaposlenost!BF27</f>
        <v>1387471.7506707723</v>
      </c>
      <c r="G94" s="113">
        <f>SUM(bdp!AR109:AR112)*1000000</f>
        <v>307461116643.95197</v>
      </c>
      <c r="H94" s="115">
        <f t="shared" si="3"/>
        <v>221598.10929145772</v>
      </c>
      <c r="I94" s="110">
        <f t="shared" si="13"/>
        <v>-0.11550047508130751</v>
      </c>
      <c r="J94" s="111">
        <f>inflacija!G82/100</f>
        <v>-2.5839019616758006E-3</v>
      </c>
      <c r="K94" s="111">
        <f>nezaposlenost!W87/100</f>
        <v>0.14809541522046307</v>
      </c>
      <c r="L94" s="111">
        <f t="shared" si="7"/>
        <v>-0.12939494410853203</v>
      </c>
      <c r="M94" s="113">
        <f>nezaposlenost!BJ27</f>
        <v>1408936.0280109935</v>
      </c>
      <c r="N94" s="113">
        <f>SUM(bdp!AU109:AU112)*1000000</f>
        <v>317615281094.67413</v>
      </c>
      <c r="O94" s="115">
        <f t="shared" si="4"/>
        <v>225429.17121869203</v>
      </c>
      <c r="P94" s="110">
        <f t="shared" si="14"/>
        <v>-9.2041415232385876E-2</v>
      </c>
      <c r="Q94" s="111">
        <f>inflacija!J82/100</f>
        <v>-7.8406184763628371E-4</v>
      </c>
      <c r="R94" s="111">
        <f>nezaposlenost!X87/100</f>
        <v>0.13713073860286137</v>
      </c>
      <c r="S94" s="111">
        <f t="shared" si="8"/>
        <v>-0.10642769293032694</v>
      </c>
      <c r="T94" s="113">
        <f>nezaposlenost!BN27</f>
        <v>1427070.1338698403</v>
      </c>
      <c r="U94" s="113">
        <f>SUM(bdp!AX109:AX112)*1000000</f>
        <v>330190023849.89722</v>
      </c>
      <c r="V94" s="115">
        <f t="shared" si="5"/>
        <v>231376.17136903314</v>
      </c>
      <c r="W94" s="90"/>
      <c r="X94" s="85">
        <v>44196</v>
      </c>
      <c r="Y94" s="94">
        <f t="shared" si="15"/>
        <v>7649.323731692356</v>
      </c>
      <c r="Z94" s="94">
        <f t="shared" si="16"/>
        <v>7799.0119856006777</v>
      </c>
      <c r="AA94" s="94">
        <f t="shared" si="17"/>
        <v>8005.860586168872</v>
      </c>
      <c r="AB94" s="97"/>
      <c r="AC94" s="97"/>
      <c r="AD94" s="97"/>
    </row>
    <row r="95" spans="1:30" ht="14.25" customHeight="1">
      <c r="W95" s="34"/>
    </row>
    <row r="96" spans="1:30" ht="14.25" customHeight="1">
      <c r="W96" s="34"/>
    </row>
    <row r="97" spans="1:23" ht="14.25" customHeight="1">
      <c r="A97" s="117"/>
      <c r="W97" s="34"/>
    </row>
    <row r="98" spans="1:23" ht="14.25" customHeight="1">
      <c r="A98" s="109" t="s">
        <v>193</v>
      </c>
      <c r="B98" s="109" t="s">
        <v>185</v>
      </c>
      <c r="C98" s="109" t="s">
        <v>186</v>
      </c>
      <c r="D98" s="109" t="s">
        <v>187</v>
      </c>
      <c r="E98" s="109" t="s">
        <v>188</v>
      </c>
      <c r="F98" s="109"/>
      <c r="W98" s="34"/>
    </row>
    <row r="99" spans="1:23" ht="14.25" customHeight="1">
      <c r="A99" s="109" t="s">
        <v>192</v>
      </c>
      <c r="B99" s="109">
        <v>3.8142000000000002E-2</v>
      </c>
      <c r="C99" s="109">
        <v>9.5630000000000003E-3</v>
      </c>
      <c r="D99" s="109">
        <v>3.9889999999999999</v>
      </c>
      <c r="E99" s="118">
        <v>1.63E-4</v>
      </c>
      <c r="F99" s="109" t="s">
        <v>194</v>
      </c>
      <c r="W99" s="34"/>
    </row>
    <row r="100" spans="1:23" ht="14.25" customHeight="1">
      <c r="A100" s="109" t="s">
        <v>33</v>
      </c>
      <c r="B100" s="109">
        <v>0.26430500000000001</v>
      </c>
      <c r="C100" s="109">
        <v>0.15759000000000001</v>
      </c>
      <c r="D100" s="109">
        <v>1.677</v>
      </c>
      <c r="E100" s="118">
        <v>9.8033999999999996E-2</v>
      </c>
      <c r="F100" s="109" t="s">
        <v>959</v>
      </c>
      <c r="W100" s="34"/>
    </row>
    <row r="101" spans="1:23" ht="14.25" customHeight="1">
      <c r="A101" s="109" t="s">
        <v>12</v>
      </c>
      <c r="B101" s="109">
        <v>-0.27193499999999998</v>
      </c>
      <c r="C101" s="109">
        <v>5.8361999999999997E-2</v>
      </c>
      <c r="D101" s="109">
        <v>-4.6589999999999998</v>
      </c>
      <c r="E101" s="118">
        <v>1.5E-5</v>
      </c>
      <c r="F101" s="109" t="s">
        <v>194</v>
      </c>
      <c r="W101" s="34"/>
    </row>
    <row r="102" spans="1:23" ht="14.25" customHeight="1">
      <c r="A102" s="109" t="s">
        <v>34</v>
      </c>
      <c r="B102" s="109">
        <v>0.87087800000000004</v>
      </c>
      <c r="C102" s="109">
        <v>0.10143099999999999</v>
      </c>
      <c r="D102" s="109">
        <v>8.5860000000000003</v>
      </c>
      <c r="E102" s="118">
        <v>1.7E-12</v>
      </c>
      <c r="F102" s="109" t="s">
        <v>194</v>
      </c>
      <c r="W102" s="34"/>
    </row>
    <row r="103" spans="1:23" ht="14.25" customHeight="1">
      <c r="W103" s="34"/>
    </row>
    <row r="104" spans="1:23" ht="14.25" customHeight="1">
      <c r="W104" s="34"/>
    </row>
    <row r="105" spans="1:23" ht="14.25" customHeight="1">
      <c r="W105" s="34"/>
    </row>
    <row r="106" spans="1:23" ht="14.25" customHeight="1">
      <c r="W106" s="34"/>
    </row>
    <row r="107" spans="1:23" ht="14.25" customHeight="1">
      <c r="E107" s="296"/>
      <c r="W107" s="34"/>
    </row>
    <row r="108" spans="1:23" ht="14.25" customHeight="1">
      <c r="E108" s="296"/>
      <c r="W108" s="34"/>
    </row>
    <row r="109" spans="1:23" ht="14.25" customHeight="1">
      <c r="W109" s="34"/>
    </row>
    <row r="110" spans="1:23" ht="14.25" customHeight="1">
      <c r="W110" s="34"/>
    </row>
    <row r="111" spans="1:23" ht="14.25" customHeight="1">
      <c r="W111" s="34"/>
    </row>
    <row r="112" spans="1:23" ht="14.25" customHeight="1">
      <c r="W112" s="34"/>
    </row>
    <row r="113" spans="23:23" ht="14.25" customHeight="1">
      <c r="W113" s="34"/>
    </row>
    <row r="114" spans="23:23" ht="14.25" customHeight="1">
      <c r="W114" s="34"/>
    </row>
    <row r="115" spans="23:23" ht="14.25" customHeight="1">
      <c r="W115" s="34"/>
    </row>
    <row r="116" spans="23:23" ht="14.25" customHeight="1">
      <c r="W116" s="34"/>
    </row>
    <row r="117" spans="23:23" ht="14.25" customHeight="1">
      <c r="W117" s="34"/>
    </row>
    <row r="118" spans="23:23" ht="14.25" customHeight="1">
      <c r="W118" s="34"/>
    </row>
    <row r="119" spans="23:23" ht="14.25" customHeight="1">
      <c r="W119" s="34"/>
    </row>
    <row r="120" spans="23:23" ht="14.25" customHeight="1">
      <c r="W120" s="34"/>
    </row>
    <row r="121" spans="23:23" ht="14.25" customHeight="1">
      <c r="W121" s="34"/>
    </row>
    <row r="122" spans="23:23" ht="14.25" customHeight="1">
      <c r="W122" s="34"/>
    </row>
    <row r="123" spans="23:23" ht="14.25" customHeight="1">
      <c r="W123" s="34"/>
    </row>
    <row r="124" spans="23:23" ht="14.25" customHeight="1">
      <c r="W124" s="34"/>
    </row>
    <row r="125" spans="23:23" ht="14.25" customHeight="1">
      <c r="W125" s="34"/>
    </row>
    <row r="126" spans="23:23" ht="14.25" customHeight="1">
      <c r="W126" s="34"/>
    </row>
    <row r="127" spans="23:23" ht="14.25" customHeight="1">
      <c r="W127" s="34"/>
    </row>
    <row r="128" spans="23:23" ht="14.25" customHeight="1">
      <c r="W128" s="34"/>
    </row>
    <row r="129" spans="23:23" ht="14.25" customHeight="1">
      <c r="W129" s="34"/>
    </row>
    <row r="130" spans="23:23" ht="14.25" customHeight="1">
      <c r="W130" s="34"/>
    </row>
    <row r="131" spans="23:23" ht="14.25" customHeight="1">
      <c r="W131" s="34"/>
    </row>
    <row r="132" spans="23:23" ht="14.25" customHeight="1">
      <c r="W132" s="34"/>
    </row>
    <row r="133" spans="23:23" ht="14.25" customHeight="1">
      <c r="W133" s="34"/>
    </row>
    <row r="134" spans="23:23" ht="14.25" customHeight="1">
      <c r="W134" s="34"/>
    </row>
    <row r="135" spans="23:23" ht="14.25" customHeight="1">
      <c r="W135" s="34"/>
    </row>
    <row r="136" spans="23:23" ht="14.25" customHeight="1">
      <c r="W136" s="34"/>
    </row>
    <row r="137" spans="23:23" ht="14.25" customHeight="1">
      <c r="W137" s="34"/>
    </row>
    <row r="138" spans="23:23" ht="14.25" customHeight="1">
      <c r="W138" s="34"/>
    </row>
    <row r="139" spans="23:23" ht="14.25" customHeight="1">
      <c r="W139" s="34"/>
    </row>
    <row r="140" spans="23:23" ht="14.25" customHeight="1">
      <c r="W140" s="34"/>
    </row>
    <row r="141" spans="23:23" ht="14.25" customHeight="1">
      <c r="W141" s="34"/>
    </row>
    <row r="142" spans="23:23" ht="14.25" customHeight="1">
      <c r="W142" s="34"/>
    </row>
    <row r="143" spans="23:23" ht="14.25" customHeight="1">
      <c r="W143" s="34"/>
    </row>
    <row r="144" spans="23:23" ht="14.25" customHeight="1">
      <c r="W144" s="34"/>
    </row>
    <row r="145" spans="23:23" ht="14.25" customHeight="1">
      <c r="W145" s="34"/>
    </row>
    <row r="146" spans="23:23" ht="14.25" customHeight="1">
      <c r="W146" s="34"/>
    </row>
    <row r="147" spans="23:23" ht="14.25" customHeight="1">
      <c r="W147" s="34"/>
    </row>
    <row r="148" spans="23:23" ht="14.25" customHeight="1">
      <c r="W148" s="34"/>
    </row>
    <row r="149" spans="23:23" ht="14.25" customHeight="1">
      <c r="W149" s="34"/>
    </row>
    <row r="150" spans="23:23" ht="14.25" customHeight="1">
      <c r="W150" s="34"/>
    </row>
    <row r="151" spans="23:23" ht="14.25" customHeight="1">
      <c r="W151" s="34"/>
    </row>
    <row r="152" spans="23:23" ht="14.25" customHeight="1">
      <c r="W152" s="34"/>
    </row>
    <row r="153" spans="23:23" ht="14.25" customHeight="1">
      <c r="W153" s="34"/>
    </row>
    <row r="154" spans="23:23" ht="14.25" customHeight="1">
      <c r="W154" s="34"/>
    </row>
    <row r="155" spans="23:23" ht="14.25" customHeight="1">
      <c r="W155" s="34"/>
    </row>
    <row r="156" spans="23:23" ht="14.25" customHeight="1">
      <c r="W156" s="34"/>
    </row>
    <row r="157" spans="23:23" ht="14.25" customHeight="1">
      <c r="W157" s="34"/>
    </row>
    <row r="158" spans="23:23" ht="14.25" customHeight="1">
      <c r="W158" s="34"/>
    </row>
    <row r="159" spans="23:23" ht="14.25" customHeight="1">
      <c r="W159" s="34"/>
    </row>
    <row r="160" spans="23:23" ht="14.25" customHeight="1">
      <c r="W160" s="34"/>
    </row>
    <row r="161" spans="23:23" ht="14.25" customHeight="1">
      <c r="W161" s="34"/>
    </row>
    <row r="162" spans="23:23" ht="14.25" customHeight="1">
      <c r="W162" s="34"/>
    </row>
    <row r="163" spans="23:23" ht="14.25" customHeight="1">
      <c r="W163" s="34"/>
    </row>
    <row r="164" spans="23:23" ht="14.25" customHeight="1">
      <c r="W164" s="34"/>
    </row>
    <row r="165" spans="23:23" ht="14.25" customHeight="1">
      <c r="W165" s="34"/>
    </row>
    <row r="166" spans="23:23" ht="14.25" customHeight="1">
      <c r="W166" s="34"/>
    </row>
    <row r="167" spans="23:23" ht="14.25" customHeight="1">
      <c r="W167" s="34"/>
    </row>
    <row r="168" spans="23:23" ht="14.25" customHeight="1">
      <c r="W168" s="34"/>
    </row>
    <row r="169" spans="23:23" ht="14.25" customHeight="1">
      <c r="W169" s="34"/>
    </row>
    <row r="170" spans="23:23" ht="14.25" customHeight="1">
      <c r="W170" s="34"/>
    </row>
    <row r="171" spans="23:23" ht="14.25" customHeight="1">
      <c r="W171" s="34"/>
    </row>
    <row r="172" spans="23:23" ht="14.25" customHeight="1">
      <c r="W172" s="34"/>
    </row>
    <row r="173" spans="23:23" ht="14.25" customHeight="1">
      <c r="W173" s="34"/>
    </row>
    <row r="174" spans="23:23" ht="14.25" customHeight="1">
      <c r="W174" s="34"/>
    </row>
    <row r="175" spans="23:23" ht="14.25" customHeight="1">
      <c r="W175" s="34"/>
    </row>
    <row r="176" spans="23:23" ht="14.25" customHeight="1">
      <c r="W176" s="34"/>
    </row>
    <row r="177" spans="23:23" ht="14.25" customHeight="1">
      <c r="W177" s="34"/>
    </row>
    <row r="178" spans="23:23" ht="14.25" customHeight="1">
      <c r="W178" s="34"/>
    </row>
    <row r="179" spans="23:23" ht="14.25" customHeight="1">
      <c r="W179" s="34"/>
    </row>
    <row r="180" spans="23:23" ht="14.25" customHeight="1">
      <c r="W180" s="34"/>
    </row>
    <row r="181" spans="23:23" ht="14.25" customHeight="1">
      <c r="W181" s="34"/>
    </row>
    <row r="182" spans="23:23" ht="14.25" customHeight="1">
      <c r="W182" s="34"/>
    </row>
    <row r="183" spans="23:23" ht="14.25" customHeight="1">
      <c r="W183" s="34"/>
    </row>
    <row r="184" spans="23:23" ht="14.25" customHeight="1">
      <c r="W184" s="34"/>
    </row>
    <row r="185" spans="23:23" ht="14.25" customHeight="1">
      <c r="W185" s="34"/>
    </row>
    <row r="186" spans="23:23" ht="14.25" customHeight="1">
      <c r="W186" s="34"/>
    </row>
    <row r="187" spans="23:23" ht="14.25" customHeight="1">
      <c r="W187" s="34"/>
    </row>
    <row r="188" spans="23:23" ht="14.25" customHeight="1">
      <c r="W188" s="34"/>
    </row>
    <row r="189" spans="23:23" ht="14.25" customHeight="1">
      <c r="W189" s="34"/>
    </row>
    <row r="190" spans="23:23" ht="14.25" customHeight="1">
      <c r="W190" s="34"/>
    </row>
    <row r="191" spans="23:23" ht="14.25" customHeight="1">
      <c r="W191" s="34"/>
    </row>
    <row r="192" spans="23:23" ht="14.25" customHeight="1">
      <c r="W192" s="34"/>
    </row>
    <row r="193" spans="23:23" ht="14.25" customHeight="1">
      <c r="W193" s="34"/>
    </row>
    <row r="194" spans="23:23" ht="14.25" customHeight="1">
      <c r="W194" s="34"/>
    </row>
    <row r="195" spans="23:23" ht="14.25" customHeight="1">
      <c r="W195" s="34"/>
    </row>
    <row r="196" spans="23:23" ht="14.25" customHeight="1">
      <c r="W196" s="34"/>
    </row>
    <row r="197" spans="23:23" ht="14.25" customHeight="1">
      <c r="W197" s="34"/>
    </row>
    <row r="198" spans="23:23" ht="14.25" customHeight="1">
      <c r="W198" s="34"/>
    </row>
    <row r="199" spans="23:23" ht="14.25" customHeight="1">
      <c r="W199" s="34"/>
    </row>
    <row r="200" spans="23:23" ht="14.25" customHeight="1">
      <c r="W200" s="34"/>
    </row>
    <row r="201" spans="23:23" ht="14.25" customHeight="1">
      <c r="W201" s="34"/>
    </row>
    <row r="202" spans="23:23" ht="14.25" customHeight="1">
      <c r="W202" s="34"/>
    </row>
    <row r="203" spans="23:23" ht="14.25" customHeight="1">
      <c r="W203" s="34"/>
    </row>
    <row r="204" spans="23:23" ht="14.25" customHeight="1">
      <c r="W204" s="34"/>
    </row>
    <row r="205" spans="23:23" ht="14.25" customHeight="1">
      <c r="W205" s="34"/>
    </row>
    <row r="206" spans="23:23" ht="14.25" customHeight="1">
      <c r="W206" s="34"/>
    </row>
    <row r="207" spans="23:23" ht="14.25" customHeight="1">
      <c r="W207" s="34"/>
    </row>
    <row r="208" spans="23:23" ht="14.25" customHeight="1">
      <c r="W208" s="34"/>
    </row>
    <row r="209" spans="23:23" ht="14.25" customHeight="1">
      <c r="W209" s="34"/>
    </row>
    <row r="210" spans="23:23" ht="14.25" customHeight="1">
      <c r="W210" s="34"/>
    </row>
    <row r="211" spans="23:23" ht="14.25" customHeight="1">
      <c r="W211" s="34"/>
    </row>
    <row r="212" spans="23:23" ht="14.25" customHeight="1">
      <c r="W212" s="34"/>
    </row>
    <row r="213" spans="23:23" ht="14.25" customHeight="1">
      <c r="W213" s="34"/>
    </row>
    <row r="214" spans="23:23" ht="14.25" customHeight="1">
      <c r="W214" s="34"/>
    </row>
    <row r="215" spans="23:23" ht="14.25" customHeight="1">
      <c r="W215" s="34"/>
    </row>
    <row r="216" spans="23:23" ht="14.25" customHeight="1">
      <c r="W216" s="34"/>
    </row>
    <row r="217" spans="23:23" ht="14.25" customHeight="1">
      <c r="W217" s="34"/>
    </row>
    <row r="218" spans="23:23" ht="14.25" customHeight="1">
      <c r="W218" s="34"/>
    </row>
    <row r="219" spans="23:23" ht="14.25" customHeight="1">
      <c r="W219" s="34"/>
    </row>
    <row r="220" spans="23:23" ht="14.25" customHeight="1">
      <c r="W220" s="34"/>
    </row>
    <row r="221" spans="23:23" ht="14.25" customHeight="1">
      <c r="W221" s="34"/>
    </row>
    <row r="222" spans="23:23" ht="14.25" customHeight="1">
      <c r="W222" s="34"/>
    </row>
    <row r="223" spans="23:23" ht="14.25" customHeight="1">
      <c r="W223" s="34"/>
    </row>
    <row r="224" spans="23:23" ht="14.25" customHeight="1">
      <c r="W224" s="34"/>
    </row>
    <row r="225" spans="23:23" ht="14.25" customHeight="1">
      <c r="W225" s="34"/>
    </row>
    <row r="226" spans="23:23" ht="14.25" customHeight="1">
      <c r="W226" s="34"/>
    </row>
    <row r="227" spans="23:23" ht="14.25" customHeight="1">
      <c r="W227" s="34"/>
    </row>
    <row r="228" spans="23:23" ht="14.25" customHeight="1">
      <c r="W228" s="34"/>
    </row>
    <row r="229" spans="23:23" ht="14.25" customHeight="1">
      <c r="W229" s="34"/>
    </row>
    <row r="230" spans="23:23" ht="14.25" customHeight="1">
      <c r="W230" s="34"/>
    </row>
    <row r="231" spans="23:23" ht="14.25" customHeight="1">
      <c r="W231" s="34"/>
    </row>
    <row r="232" spans="23:23" ht="14.25" customHeight="1">
      <c r="W232" s="34"/>
    </row>
    <row r="233" spans="23:23" ht="14.25" customHeight="1">
      <c r="W233" s="34"/>
    </row>
    <row r="234" spans="23:23" ht="14.25" customHeight="1">
      <c r="W234" s="34"/>
    </row>
    <row r="235" spans="23:23" ht="14.25" customHeight="1">
      <c r="W235" s="34"/>
    </row>
    <row r="236" spans="23:23" ht="14.25" customHeight="1">
      <c r="W236" s="34"/>
    </row>
    <row r="237" spans="23:23" ht="14.25" customHeight="1">
      <c r="W237" s="34"/>
    </row>
    <row r="238" spans="23:23" ht="14.25" customHeight="1">
      <c r="W238" s="34"/>
    </row>
    <row r="239" spans="23:23" ht="14.25" customHeight="1">
      <c r="W239" s="34"/>
    </row>
    <row r="240" spans="23:23" ht="14.25" customHeight="1">
      <c r="W240" s="34"/>
    </row>
    <row r="241" spans="23:23" ht="14.25" customHeight="1">
      <c r="W241" s="34"/>
    </row>
    <row r="242" spans="23:23" ht="14.25" customHeight="1">
      <c r="W242" s="34"/>
    </row>
    <row r="243" spans="23:23" ht="14.25" customHeight="1">
      <c r="W243" s="34"/>
    </row>
    <row r="244" spans="23:23" ht="14.25" customHeight="1">
      <c r="W244" s="34"/>
    </row>
    <row r="245" spans="23:23" ht="14.25" customHeight="1">
      <c r="W245" s="34"/>
    </row>
    <row r="246" spans="23:23" ht="14.25" customHeight="1">
      <c r="W246" s="34"/>
    </row>
    <row r="247" spans="23:23" ht="14.25" customHeight="1">
      <c r="W247" s="34"/>
    </row>
    <row r="248" spans="23:23" ht="14.25" customHeight="1">
      <c r="W248" s="34"/>
    </row>
    <row r="249" spans="23:23" ht="14.25" customHeight="1">
      <c r="W249" s="34"/>
    </row>
    <row r="250" spans="23:23" ht="14.25" customHeight="1">
      <c r="W250" s="34"/>
    </row>
    <row r="251" spans="23:23" ht="14.25" customHeight="1">
      <c r="W251" s="34"/>
    </row>
    <row r="252" spans="23:23" ht="14.25" customHeight="1">
      <c r="W252" s="34"/>
    </row>
    <row r="253" spans="23:23" ht="14.25" customHeight="1">
      <c r="W253" s="34"/>
    </row>
    <row r="254" spans="23:23" ht="14.25" customHeight="1">
      <c r="W254" s="34"/>
    </row>
    <row r="255" spans="23:23" ht="14.25" customHeight="1">
      <c r="W255" s="34"/>
    </row>
    <row r="256" spans="23:23" ht="14.25" customHeight="1">
      <c r="W256" s="34"/>
    </row>
    <row r="257" spans="23:23" ht="14.25" customHeight="1">
      <c r="W257" s="34"/>
    </row>
    <row r="258" spans="23:23" ht="14.25" customHeight="1">
      <c r="W258" s="34"/>
    </row>
    <row r="259" spans="23:23" ht="14.25" customHeight="1">
      <c r="W259" s="34"/>
    </row>
    <row r="260" spans="23:23" ht="14.25" customHeight="1">
      <c r="W260" s="34"/>
    </row>
    <row r="261" spans="23:23" ht="14.25" customHeight="1">
      <c r="W261" s="34"/>
    </row>
    <row r="262" spans="23:23" ht="14.25" customHeight="1">
      <c r="W262" s="34"/>
    </row>
    <row r="263" spans="23:23" ht="14.25" customHeight="1">
      <c r="W263" s="34"/>
    </row>
    <row r="264" spans="23:23" ht="14.25" customHeight="1">
      <c r="W264" s="34"/>
    </row>
    <row r="265" spans="23:23" ht="14.25" customHeight="1">
      <c r="W265" s="34"/>
    </row>
    <row r="266" spans="23:23" ht="14.25" customHeight="1">
      <c r="W266" s="34"/>
    </row>
    <row r="267" spans="23:23" ht="14.25" customHeight="1">
      <c r="W267" s="34"/>
    </row>
    <row r="268" spans="23:23" ht="14.25" customHeight="1">
      <c r="W268" s="34"/>
    </row>
    <row r="269" spans="23:23" ht="14.25" customHeight="1">
      <c r="W269" s="34"/>
    </row>
    <row r="270" spans="23:23" ht="14.25" customHeight="1">
      <c r="W270" s="34"/>
    </row>
    <row r="271" spans="23:23" ht="14.25" customHeight="1">
      <c r="W271" s="34"/>
    </row>
    <row r="272" spans="23:23" ht="14.25" customHeight="1">
      <c r="W272" s="34"/>
    </row>
    <row r="273" spans="23:23" ht="14.25" customHeight="1">
      <c r="W273" s="34"/>
    </row>
    <row r="274" spans="23:23" ht="14.25" customHeight="1">
      <c r="W274" s="34"/>
    </row>
    <row r="275" spans="23:23" ht="14.25" customHeight="1">
      <c r="W275" s="34"/>
    </row>
    <row r="276" spans="23:23" ht="14.25" customHeight="1">
      <c r="W276" s="34"/>
    </row>
    <row r="277" spans="23:23" ht="14.25" customHeight="1">
      <c r="W277" s="34"/>
    </row>
    <row r="278" spans="23:23" ht="14.25" customHeight="1">
      <c r="W278" s="34"/>
    </row>
    <row r="279" spans="23:23" ht="14.25" customHeight="1">
      <c r="W279" s="34"/>
    </row>
    <row r="280" spans="23:23" ht="14.25" customHeight="1">
      <c r="W280" s="34"/>
    </row>
    <row r="281" spans="23:23" ht="14.25" customHeight="1">
      <c r="W281" s="34"/>
    </row>
    <row r="282" spans="23:23" ht="14.25" customHeight="1">
      <c r="W282" s="34"/>
    </row>
    <row r="283" spans="23:23" ht="14.25" customHeight="1">
      <c r="W283" s="34"/>
    </row>
    <row r="284" spans="23:23" ht="14.25" customHeight="1">
      <c r="W284" s="34"/>
    </row>
    <row r="285" spans="23:23" ht="14.25" customHeight="1">
      <c r="W285" s="34"/>
    </row>
    <row r="286" spans="23:23" ht="14.25" customHeight="1">
      <c r="W286" s="34"/>
    </row>
    <row r="287" spans="23:23" ht="14.25" customHeight="1">
      <c r="W287" s="34"/>
    </row>
    <row r="288" spans="23:23" ht="14.25" customHeight="1">
      <c r="W288" s="34"/>
    </row>
    <row r="289" spans="23:23" ht="14.25" customHeight="1">
      <c r="W289" s="34"/>
    </row>
    <row r="290" spans="23:23" ht="14.25" customHeight="1">
      <c r="W290" s="34"/>
    </row>
    <row r="291" spans="23:23" ht="14.25" customHeight="1">
      <c r="W291" s="34"/>
    </row>
    <row r="292" spans="23:23" ht="14.25" customHeight="1">
      <c r="W292" s="34"/>
    </row>
    <row r="293" spans="23:23" ht="14.25" customHeight="1">
      <c r="W293" s="34"/>
    </row>
    <row r="294" spans="23:23" ht="14.25" customHeight="1">
      <c r="W294" s="34"/>
    </row>
    <row r="295" spans="23:23" ht="14.25" customHeight="1">
      <c r="W295" s="34"/>
    </row>
    <row r="296" spans="23:23" ht="14.25" customHeight="1">
      <c r="W296" s="34"/>
    </row>
    <row r="297" spans="23:23" ht="14.25" customHeight="1">
      <c r="W297" s="34"/>
    </row>
    <row r="298" spans="23:23" ht="14.25" customHeight="1">
      <c r="W298" s="34"/>
    </row>
    <row r="299" spans="23:23" ht="14.25" customHeight="1">
      <c r="W299" s="34"/>
    </row>
    <row r="300" spans="23:23" ht="14.25" customHeight="1">
      <c r="W300" s="34"/>
    </row>
    <row r="301" spans="23:23" ht="14.25" customHeight="1">
      <c r="W301" s="34"/>
    </row>
    <row r="302" spans="23:23" ht="14.25" customHeight="1">
      <c r="W302" s="34"/>
    </row>
    <row r="303" spans="23:23" ht="14.25" customHeight="1">
      <c r="W303" s="34"/>
    </row>
    <row r="304" spans="23:23" ht="14.25" customHeight="1">
      <c r="W304" s="34"/>
    </row>
    <row r="305" spans="23:23" ht="14.25" customHeight="1">
      <c r="W305" s="34"/>
    </row>
    <row r="306" spans="23:23" ht="14.25" customHeight="1">
      <c r="W306" s="34"/>
    </row>
    <row r="307" spans="23:23" ht="14.25" customHeight="1">
      <c r="W307" s="34"/>
    </row>
    <row r="308" spans="23:23" ht="14.25" customHeight="1">
      <c r="W308" s="34"/>
    </row>
    <row r="309" spans="23:23" ht="14.25" customHeight="1">
      <c r="W309" s="34"/>
    </row>
    <row r="310" spans="23:23" ht="14.25" customHeight="1">
      <c r="W310" s="34"/>
    </row>
    <row r="311" spans="23:23" ht="14.25" customHeight="1">
      <c r="W311" s="34"/>
    </row>
    <row r="312" spans="23:23" ht="14.25" customHeight="1">
      <c r="W312" s="34"/>
    </row>
    <row r="313" spans="23:23" ht="14.25" customHeight="1">
      <c r="W313" s="34"/>
    </row>
    <row r="314" spans="23:23" ht="14.25" customHeight="1">
      <c r="W314" s="34"/>
    </row>
    <row r="315" spans="23:23" ht="14.25" customHeight="1">
      <c r="W315" s="34"/>
    </row>
    <row r="316" spans="23:23" ht="14.25" customHeight="1">
      <c r="W316" s="34"/>
    </row>
    <row r="317" spans="23:23" ht="14.25" customHeight="1">
      <c r="W317" s="34"/>
    </row>
    <row r="318" spans="23:23" ht="14.25" customHeight="1">
      <c r="W318" s="34"/>
    </row>
    <row r="319" spans="23:23" ht="14.25" customHeight="1">
      <c r="W319" s="34"/>
    </row>
    <row r="320" spans="23:23" ht="14.25" customHeight="1">
      <c r="W320" s="34"/>
    </row>
    <row r="321" spans="23:23" ht="14.25" customHeight="1">
      <c r="W321" s="34"/>
    </row>
    <row r="322" spans="23:23" ht="14.25" customHeight="1">
      <c r="W322" s="34"/>
    </row>
    <row r="323" spans="23:23" ht="14.25" customHeight="1">
      <c r="W323" s="34"/>
    </row>
    <row r="324" spans="23:23" ht="14.25" customHeight="1">
      <c r="W324" s="34"/>
    </row>
    <row r="325" spans="23:23" ht="14.25" customHeight="1">
      <c r="W325" s="34"/>
    </row>
    <row r="326" spans="23:23" ht="14.25" customHeight="1">
      <c r="W326" s="34"/>
    </row>
    <row r="327" spans="23:23" ht="14.25" customHeight="1">
      <c r="W327" s="34"/>
    </row>
    <row r="328" spans="23:23" ht="14.25" customHeight="1">
      <c r="W328" s="34"/>
    </row>
    <row r="329" spans="23:23" ht="14.25" customHeight="1">
      <c r="W329" s="34"/>
    </row>
    <row r="330" spans="23:23" ht="14.25" customHeight="1">
      <c r="W330" s="34"/>
    </row>
    <row r="331" spans="23:23" ht="14.25" customHeight="1">
      <c r="W331" s="34"/>
    </row>
    <row r="332" spans="23:23" ht="14.25" customHeight="1">
      <c r="W332" s="34"/>
    </row>
    <row r="333" spans="23:23" ht="14.25" customHeight="1">
      <c r="W333" s="34"/>
    </row>
    <row r="334" spans="23:23" ht="14.25" customHeight="1">
      <c r="W334" s="34"/>
    </row>
    <row r="335" spans="23:23" ht="14.25" customHeight="1">
      <c r="W335" s="34"/>
    </row>
    <row r="336" spans="23:23" ht="14.25" customHeight="1">
      <c r="W336" s="34"/>
    </row>
    <row r="337" spans="23:23" ht="14.25" customHeight="1">
      <c r="W337" s="34"/>
    </row>
    <row r="338" spans="23:23" ht="14.25" customHeight="1">
      <c r="W338" s="34"/>
    </row>
    <row r="339" spans="23:23" ht="14.25" customHeight="1">
      <c r="W339" s="34"/>
    </row>
    <row r="340" spans="23:23" ht="14.25" customHeight="1">
      <c r="W340" s="34"/>
    </row>
    <row r="341" spans="23:23" ht="14.25" customHeight="1">
      <c r="W341" s="34"/>
    </row>
    <row r="342" spans="23:23" ht="14.25" customHeight="1">
      <c r="W342" s="34"/>
    </row>
    <row r="343" spans="23:23" ht="14.25" customHeight="1">
      <c r="W343" s="34"/>
    </row>
    <row r="344" spans="23:23" ht="14.25" customHeight="1">
      <c r="W344" s="34"/>
    </row>
    <row r="345" spans="23:23" ht="14.25" customHeight="1">
      <c r="W345" s="34"/>
    </row>
    <row r="346" spans="23:23" ht="14.25" customHeight="1">
      <c r="W346" s="34"/>
    </row>
    <row r="347" spans="23:23" ht="14.25" customHeight="1">
      <c r="W347" s="34"/>
    </row>
    <row r="348" spans="23:23" ht="14.25" customHeight="1">
      <c r="W348" s="34"/>
    </row>
    <row r="349" spans="23:23" ht="14.25" customHeight="1">
      <c r="W349" s="34"/>
    </row>
    <row r="350" spans="23:23" ht="14.25" customHeight="1">
      <c r="W350" s="34"/>
    </row>
    <row r="351" spans="23:23" ht="14.25" customHeight="1">
      <c r="W351" s="34"/>
    </row>
    <row r="352" spans="23:23" ht="14.25" customHeight="1">
      <c r="W352" s="34"/>
    </row>
    <row r="353" spans="23:23" ht="14.25" customHeight="1">
      <c r="W353" s="34"/>
    </row>
    <row r="354" spans="23:23" ht="14.25" customHeight="1">
      <c r="W354" s="34"/>
    </row>
    <row r="355" spans="23:23" ht="14.25" customHeight="1">
      <c r="W355" s="34"/>
    </row>
    <row r="356" spans="23:23" ht="14.25" customHeight="1">
      <c r="W356" s="34"/>
    </row>
    <row r="357" spans="23:23" ht="14.25" customHeight="1">
      <c r="W357" s="34"/>
    </row>
    <row r="358" spans="23:23" ht="14.25" customHeight="1">
      <c r="W358" s="34"/>
    </row>
    <row r="359" spans="23:23" ht="14.25" customHeight="1">
      <c r="W359" s="34"/>
    </row>
    <row r="360" spans="23:23" ht="14.25" customHeight="1">
      <c r="W360" s="34"/>
    </row>
    <row r="361" spans="23:23" ht="14.25" customHeight="1">
      <c r="W361" s="34"/>
    </row>
    <row r="362" spans="23:23" ht="14.25" customHeight="1">
      <c r="W362" s="34"/>
    </row>
    <row r="363" spans="23:23" ht="14.25" customHeight="1">
      <c r="W363" s="34"/>
    </row>
    <row r="364" spans="23:23" ht="14.25" customHeight="1">
      <c r="W364" s="34"/>
    </row>
    <row r="365" spans="23:23" ht="14.25" customHeight="1">
      <c r="W365" s="34"/>
    </row>
    <row r="366" spans="23:23" ht="14.25" customHeight="1">
      <c r="W366" s="34"/>
    </row>
    <row r="367" spans="23:23" ht="14.25" customHeight="1">
      <c r="W367" s="34"/>
    </row>
    <row r="368" spans="23:23" ht="14.25" customHeight="1">
      <c r="W368" s="34"/>
    </row>
    <row r="369" spans="23:23" ht="14.25" customHeight="1">
      <c r="W369" s="34"/>
    </row>
    <row r="370" spans="23:23" ht="14.25" customHeight="1">
      <c r="W370" s="34"/>
    </row>
    <row r="371" spans="23:23" ht="14.25" customHeight="1">
      <c r="W371" s="34"/>
    </row>
    <row r="372" spans="23:23" ht="14.25" customHeight="1">
      <c r="W372" s="34"/>
    </row>
    <row r="373" spans="23:23" ht="14.25" customHeight="1">
      <c r="W373" s="34"/>
    </row>
    <row r="374" spans="23:23" ht="14.25" customHeight="1">
      <c r="W374" s="34"/>
    </row>
    <row r="375" spans="23:23" ht="14.25" customHeight="1">
      <c r="W375" s="34"/>
    </row>
    <row r="376" spans="23:23" ht="14.25" customHeight="1">
      <c r="W376" s="34"/>
    </row>
    <row r="377" spans="23:23" ht="14.25" customHeight="1">
      <c r="W377" s="34"/>
    </row>
    <row r="378" spans="23:23" ht="14.25" customHeight="1">
      <c r="W378" s="34"/>
    </row>
    <row r="379" spans="23:23" ht="14.25" customHeight="1">
      <c r="W379" s="34"/>
    </row>
    <row r="380" spans="23:23" ht="14.25" customHeight="1">
      <c r="W380" s="34"/>
    </row>
    <row r="381" spans="23:23" ht="14.25" customHeight="1">
      <c r="W381" s="34"/>
    </row>
    <row r="382" spans="23:23" ht="14.25" customHeight="1">
      <c r="W382" s="34"/>
    </row>
    <row r="383" spans="23:23" ht="14.25" customHeight="1">
      <c r="W383" s="34"/>
    </row>
    <row r="384" spans="23:23" ht="14.25" customHeight="1">
      <c r="W384" s="34"/>
    </row>
    <row r="385" spans="23:23" ht="14.25" customHeight="1">
      <c r="W385" s="34"/>
    </row>
    <row r="386" spans="23:23" ht="14.25" customHeight="1">
      <c r="W386" s="34"/>
    </row>
    <row r="387" spans="23:23" ht="14.25" customHeight="1">
      <c r="W387" s="34"/>
    </row>
    <row r="388" spans="23:23" ht="14.25" customHeight="1">
      <c r="W388" s="34"/>
    </row>
    <row r="389" spans="23:23" ht="14.25" customHeight="1">
      <c r="W389" s="34"/>
    </row>
    <row r="390" spans="23:23" ht="14.25" customHeight="1">
      <c r="W390" s="34"/>
    </row>
    <row r="391" spans="23:23" ht="14.25" customHeight="1">
      <c r="W391" s="34"/>
    </row>
    <row r="392" spans="23:23" ht="14.25" customHeight="1">
      <c r="W392" s="34"/>
    </row>
    <row r="393" spans="23:23" ht="14.25" customHeight="1">
      <c r="W393" s="34"/>
    </row>
    <row r="394" spans="23:23" ht="14.25" customHeight="1">
      <c r="W394" s="34"/>
    </row>
    <row r="395" spans="23:23" ht="14.25" customHeight="1">
      <c r="W395" s="34"/>
    </row>
    <row r="396" spans="23:23" ht="14.25" customHeight="1">
      <c r="W396" s="34"/>
    </row>
    <row r="397" spans="23:23" ht="14.25" customHeight="1">
      <c r="W397" s="34"/>
    </row>
    <row r="398" spans="23:23" ht="14.25" customHeight="1">
      <c r="W398" s="34"/>
    </row>
    <row r="399" spans="23:23" ht="14.25" customHeight="1">
      <c r="W399" s="34"/>
    </row>
    <row r="400" spans="23:23" ht="14.25" customHeight="1">
      <c r="W400" s="34"/>
    </row>
    <row r="401" spans="23:23" ht="14.25" customHeight="1">
      <c r="W401" s="34"/>
    </row>
    <row r="402" spans="23:23" ht="14.25" customHeight="1">
      <c r="W402" s="34"/>
    </row>
    <row r="403" spans="23:23" ht="14.25" customHeight="1">
      <c r="W403" s="34"/>
    </row>
    <row r="404" spans="23:23" ht="14.25" customHeight="1">
      <c r="W404" s="34"/>
    </row>
    <row r="405" spans="23:23" ht="14.25" customHeight="1">
      <c r="W405" s="34"/>
    </row>
    <row r="406" spans="23:23" ht="14.25" customHeight="1">
      <c r="W406" s="34"/>
    </row>
    <row r="407" spans="23:23" ht="14.25" customHeight="1">
      <c r="W407" s="34"/>
    </row>
    <row r="408" spans="23:23" ht="14.25" customHeight="1">
      <c r="W408" s="34"/>
    </row>
    <row r="409" spans="23:23" ht="14.25" customHeight="1">
      <c r="W409" s="34"/>
    </row>
    <row r="410" spans="23:23" ht="14.25" customHeight="1">
      <c r="W410" s="34"/>
    </row>
    <row r="411" spans="23:23" ht="14.25" customHeight="1">
      <c r="W411" s="34"/>
    </row>
    <row r="412" spans="23:23" ht="14.25" customHeight="1">
      <c r="W412" s="34"/>
    </row>
    <row r="413" spans="23:23" ht="14.25" customHeight="1">
      <c r="W413" s="34"/>
    </row>
    <row r="414" spans="23:23" ht="14.25" customHeight="1">
      <c r="W414" s="34"/>
    </row>
    <row r="415" spans="23:23" ht="14.25" customHeight="1">
      <c r="W415" s="34"/>
    </row>
    <row r="416" spans="23:23" ht="14.25" customHeight="1">
      <c r="W416" s="34"/>
    </row>
    <row r="417" spans="23:23" ht="14.25" customHeight="1">
      <c r="W417" s="34"/>
    </row>
    <row r="418" spans="23:23" ht="14.25" customHeight="1">
      <c r="W418" s="34"/>
    </row>
    <row r="419" spans="23:23" ht="14.25" customHeight="1">
      <c r="W419" s="34"/>
    </row>
    <row r="420" spans="23:23" ht="14.25" customHeight="1">
      <c r="W420" s="34"/>
    </row>
    <row r="421" spans="23:23" ht="14.25" customHeight="1">
      <c r="W421" s="34"/>
    </row>
    <row r="422" spans="23:23" ht="14.25" customHeight="1">
      <c r="W422" s="34"/>
    </row>
    <row r="423" spans="23:23" ht="14.25" customHeight="1">
      <c r="W423" s="34"/>
    </row>
    <row r="424" spans="23:23" ht="14.25" customHeight="1">
      <c r="W424" s="34"/>
    </row>
    <row r="425" spans="23:23" ht="14.25" customHeight="1">
      <c r="W425" s="34"/>
    </row>
    <row r="426" spans="23:23" ht="14.25" customHeight="1">
      <c r="W426" s="34"/>
    </row>
    <row r="427" spans="23:23" ht="14.25" customHeight="1">
      <c r="W427" s="34"/>
    </row>
    <row r="428" spans="23:23" ht="14.25" customHeight="1">
      <c r="W428" s="34"/>
    </row>
    <row r="429" spans="23:23" ht="14.25" customHeight="1">
      <c r="W429" s="34"/>
    </row>
    <row r="430" spans="23:23" ht="14.25" customHeight="1">
      <c r="W430" s="34"/>
    </row>
    <row r="431" spans="23:23" ht="14.25" customHeight="1">
      <c r="W431" s="34"/>
    </row>
    <row r="432" spans="23:23" ht="14.25" customHeight="1">
      <c r="W432" s="34"/>
    </row>
    <row r="433" spans="23:23" ht="14.25" customHeight="1">
      <c r="W433" s="34"/>
    </row>
    <row r="434" spans="23:23" ht="14.25" customHeight="1">
      <c r="W434" s="34"/>
    </row>
    <row r="435" spans="23:23" ht="14.25" customHeight="1">
      <c r="W435" s="34"/>
    </row>
    <row r="436" spans="23:23" ht="14.25" customHeight="1">
      <c r="W436" s="34"/>
    </row>
    <row r="437" spans="23:23" ht="14.25" customHeight="1">
      <c r="W437" s="34"/>
    </row>
    <row r="438" spans="23:23" ht="14.25" customHeight="1">
      <c r="W438" s="34"/>
    </row>
    <row r="439" spans="23:23" ht="14.25" customHeight="1">
      <c r="W439" s="34"/>
    </row>
    <row r="440" spans="23:23" ht="14.25" customHeight="1">
      <c r="W440" s="34"/>
    </row>
    <row r="441" spans="23:23" ht="14.25" customHeight="1">
      <c r="W441" s="34"/>
    </row>
    <row r="442" spans="23:23" ht="14.25" customHeight="1">
      <c r="W442" s="34"/>
    </row>
    <row r="443" spans="23:23" ht="14.25" customHeight="1">
      <c r="W443" s="34"/>
    </row>
    <row r="444" spans="23:23" ht="14.25" customHeight="1">
      <c r="W444" s="34"/>
    </row>
    <row r="445" spans="23:23" ht="14.25" customHeight="1">
      <c r="W445" s="34"/>
    </row>
    <row r="446" spans="23:23" ht="14.25" customHeight="1">
      <c r="W446" s="34"/>
    </row>
    <row r="447" spans="23:23" ht="14.25" customHeight="1">
      <c r="W447" s="34"/>
    </row>
    <row r="448" spans="23:23" ht="14.25" customHeight="1">
      <c r="W448" s="34"/>
    </row>
    <row r="449" spans="23:23" ht="14.25" customHeight="1">
      <c r="W449" s="34"/>
    </row>
    <row r="450" spans="23:23" ht="14.25" customHeight="1">
      <c r="W450" s="34"/>
    </row>
    <row r="451" spans="23:23" ht="14.25" customHeight="1">
      <c r="W451" s="34"/>
    </row>
    <row r="452" spans="23:23" ht="14.25" customHeight="1">
      <c r="W452" s="34"/>
    </row>
    <row r="453" spans="23:23" ht="14.25" customHeight="1">
      <c r="W453" s="34"/>
    </row>
    <row r="454" spans="23:23" ht="14.25" customHeight="1">
      <c r="W454" s="34"/>
    </row>
    <row r="455" spans="23:23" ht="14.25" customHeight="1">
      <c r="W455" s="34"/>
    </row>
    <row r="456" spans="23:23" ht="14.25" customHeight="1">
      <c r="W456" s="34"/>
    </row>
    <row r="457" spans="23:23" ht="14.25" customHeight="1">
      <c r="W457" s="34"/>
    </row>
    <row r="458" spans="23:23" ht="14.25" customHeight="1">
      <c r="W458" s="34"/>
    </row>
    <row r="459" spans="23:23" ht="14.25" customHeight="1">
      <c r="W459" s="34"/>
    </row>
    <row r="460" spans="23:23" ht="14.25" customHeight="1">
      <c r="W460" s="34"/>
    </row>
    <row r="461" spans="23:23" ht="14.25" customHeight="1">
      <c r="W461" s="34"/>
    </row>
    <row r="462" spans="23:23" ht="14.25" customHeight="1">
      <c r="W462" s="34"/>
    </row>
    <row r="463" spans="23:23" ht="14.25" customHeight="1">
      <c r="W463" s="34"/>
    </row>
    <row r="464" spans="23:23" ht="14.25" customHeight="1">
      <c r="W464" s="34"/>
    </row>
    <row r="465" spans="23:23" ht="14.25" customHeight="1">
      <c r="W465" s="34"/>
    </row>
    <row r="466" spans="23:23" ht="14.25" customHeight="1">
      <c r="W466" s="34"/>
    </row>
    <row r="467" spans="23:23" ht="14.25" customHeight="1">
      <c r="W467" s="34"/>
    </row>
    <row r="468" spans="23:23" ht="14.25" customHeight="1">
      <c r="W468" s="34"/>
    </row>
    <row r="469" spans="23:23" ht="14.25" customHeight="1">
      <c r="W469" s="34"/>
    </row>
    <row r="470" spans="23:23" ht="14.25" customHeight="1">
      <c r="W470" s="34"/>
    </row>
    <row r="471" spans="23:23" ht="14.25" customHeight="1">
      <c r="W471" s="34"/>
    </row>
    <row r="472" spans="23:23" ht="14.25" customHeight="1">
      <c r="W472" s="34"/>
    </row>
    <row r="473" spans="23:23" ht="14.25" customHeight="1">
      <c r="W473" s="34"/>
    </row>
    <row r="474" spans="23:23" ht="14.25" customHeight="1">
      <c r="W474" s="34"/>
    </row>
    <row r="475" spans="23:23" ht="14.25" customHeight="1">
      <c r="W475" s="34"/>
    </row>
    <row r="476" spans="23:23" ht="14.25" customHeight="1">
      <c r="W476" s="34"/>
    </row>
    <row r="477" spans="23:23" ht="14.25" customHeight="1">
      <c r="W477" s="34"/>
    </row>
    <row r="478" spans="23:23" ht="14.25" customHeight="1">
      <c r="W478" s="34"/>
    </row>
    <row r="479" spans="23:23" ht="14.25" customHeight="1">
      <c r="W479" s="34"/>
    </row>
    <row r="480" spans="23:23" ht="14.25" customHeight="1">
      <c r="W480" s="34"/>
    </row>
    <row r="481" spans="23:23" ht="14.25" customHeight="1">
      <c r="W481" s="34"/>
    </row>
    <row r="482" spans="23:23" ht="14.25" customHeight="1">
      <c r="W482" s="34"/>
    </row>
    <row r="483" spans="23:23" ht="14.25" customHeight="1">
      <c r="W483" s="34"/>
    </row>
    <row r="484" spans="23:23" ht="14.25" customHeight="1">
      <c r="W484" s="34"/>
    </row>
    <row r="485" spans="23:23" ht="14.25" customHeight="1">
      <c r="W485" s="34"/>
    </row>
    <row r="486" spans="23:23" ht="14.25" customHeight="1">
      <c r="W486" s="34"/>
    </row>
    <row r="487" spans="23:23" ht="14.25" customHeight="1">
      <c r="W487" s="34"/>
    </row>
    <row r="488" spans="23:23" ht="14.25" customHeight="1">
      <c r="W488" s="34"/>
    </row>
    <row r="489" spans="23:23" ht="14.25" customHeight="1">
      <c r="W489" s="34"/>
    </row>
    <row r="490" spans="23:23" ht="14.25" customHeight="1">
      <c r="W490" s="34"/>
    </row>
    <row r="491" spans="23:23" ht="14.25" customHeight="1">
      <c r="W491" s="34"/>
    </row>
    <row r="492" spans="23:23" ht="14.25" customHeight="1">
      <c r="W492" s="34"/>
    </row>
    <row r="493" spans="23:23" ht="14.25" customHeight="1">
      <c r="W493" s="34"/>
    </row>
    <row r="494" spans="23:23" ht="14.25" customHeight="1">
      <c r="W494" s="34"/>
    </row>
    <row r="495" spans="23:23" ht="14.25" customHeight="1">
      <c r="W495" s="34"/>
    </row>
    <row r="496" spans="23:23" ht="14.25" customHeight="1">
      <c r="W496" s="34"/>
    </row>
    <row r="497" spans="23:23" ht="14.25" customHeight="1">
      <c r="W497" s="34"/>
    </row>
    <row r="498" spans="23:23" ht="14.25" customHeight="1">
      <c r="W498" s="34"/>
    </row>
    <row r="499" spans="23:23" ht="14.25" customHeight="1">
      <c r="W499" s="34"/>
    </row>
    <row r="500" spans="23:23" ht="14.25" customHeight="1">
      <c r="W500" s="34"/>
    </row>
    <row r="501" spans="23:23" ht="14.25" customHeight="1">
      <c r="W501" s="34"/>
    </row>
    <row r="502" spans="23:23" ht="14.25" customHeight="1">
      <c r="W502" s="34"/>
    </row>
    <row r="503" spans="23:23" ht="14.25" customHeight="1">
      <c r="W503" s="34"/>
    </row>
    <row r="504" spans="23:23" ht="14.25" customHeight="1">
      <c r="W504" s="34"/>
    </row>
    <row r="505" spans="23:23" ht="14.25" customHeight="1">
      <c r="W505" s="34"/>
    </row>
    <row r="506" spans="23:23" ht="14.25" customHeight="1">
      <c r="W506" s="34"/>
    </row>
    <row r="507" spans="23:23" ht="14.25" customHeight="1">
      <c r="W507" s="34"/>
    </row>
    <row r="508" spans="23:23" ht="14.25" customHeight="1">
      <c r="W508" s="34"/>
    </row>
    <row r="509" spans="23:23" ht="14.25" customHeight="1">
      <c r="W509" s="34"/>
    </row>
    <row r="510" spans="23:23" ht="14.25" customHeight="1">
      <c r="W510" s="34"/>
    </row>
    <row r="511" spans="23:23" ht="14.25" customHeight="1">
      <c r="W511" s="34"/>
    </row>
    <row r="512" spans="23:23" ht="14.25" customHeight="1">
      <c r="W512" s="34"/>
    </row>
    <row r="513" spans="23:23" ht="14.25" customHeight="1">
      <c r="W513" s="34"/>
    </row>
    <row r="514" spans="23:23" ht="14.25" customHeight="1">
      <c r="W514" s="34"/>
    </row>
    <row r="515" spans="23:23" ht="14.25" customHeight="1">
      <c r="W515" s="34"/>
    </row>
    <row r="516" spans="23:23" ht="14.25" customHeight="1">
      <c r="W516" s="34"/>
    </row>
    <row r="517" spans="23:23" ht="14.25" customHeight="1">
      <c r="W517" s="34"/>
    </row>
    <row r="518" spans="23:23" ht="14.25" customHeight="1">
      <c r="W518" s="34"/>
    </row>
    <row r="519" spans="23:23" ht="14.25" customHeight="1">
      <c r="W519" s="34"/>
    </row>
    <row r="520" spans="23:23" ht="14.25" customHeight="1">
      <c r="W520" s="34"/>
    </row>
    <row r="521" spans="23:23" ht="14.25" customHeight="1">
      <c r="W521" s="34"/>
    </row>
    <row r="522" spans="23:23" ht="14.25" customHeight="1">
      <c r="W522" s="34"/>
    </row>
    <row r="523" spans="23:23" ht="14.25" customHeight="1">
      <c r="W523" s="34"/>
    </row>
    <row r="524" spans="23:23" ht="14.25" customHeight="1">
      <c r="W524" s="34"/>
    </row>
    <row r="525" spans="23:23" ht="14.25" customHeight="1">
      <c r="W525" s="34"/>
    </row>
    <row r="526" spans="23:23" ht="14.25" customHeight="1">
      <c r="W526" s="34"/>
    </row>
    <row r="527" spans="23:23" ht="14.25" customHeight="1">
      <c r="W527" s="34"/>
    </row>
    <row r="528" spans="23:23" ht="14.25" customHeight="1">
      <c r="W528" s="34"/>
    </row>
    <row r="529" spans="23:23" ht="14.25" customHeight="1">
      <c r="W529" s="34"/>
    </row>
    <row r="530" spans="23:23" ht="14.25" customHeight="1">
      <c r="W530" s="34"/>
    </row>
    <row r="531" spans="23:23" ht="14.25" customHeight="1">
      <c r="W531" s="34"/>
    </row>
    <row r="532" spans="23:23" ht="14.25" customHeight="1">
      <c r="W532" s="34"/>
    </row>
    <row r="533" spans="23:23" ht="14.25" customHeight="1">
      <c r="W533" s="34"/>
    </row>
    <row r="534" spans="23:23" ht="14.25" customHeight="1">
      <c r="W534" s="34"/>
    </row>
    <row r="535" spans="23:23" ht="14.25" customHeight="1">
      <c r="W535" s="34"/>
    </row>
    <row r="536" spans="23:23" ht="14.25" customHeight="1">
      <c r="W536" s="34"/>
    </row>
    <row r="537" spans="23:23" ht="14.25" customHeight="1">
      <c r="W537" s="34"/>
    </row>
    <row r="538" spans="23:23" ht="14.25" customHeight="1">
      <c r="W538" s="34"/>
    </row>
    <row r="539" spans="23:23" ht="14.25" customHeight="1">
      <c r="W539" s="34"/>
    </row>
    <row r="540" spans="23:23" ht="14.25" customHeight="1">
      <c r="W540" s="34"/>
    </row>
    <row r="541" spans="23:23" ht="14.25" customHeight="1">
      <c r="W541" s="34"/>
    </row>
    <row r="542" spans="23:23" ht="14.25" customHeight="1">
      <c r="W542" s="34"/>
    </row>
    <row r="543" spans="23:23" ht="14.25" customHeight="1">
      <c r="W543" s="34"/>
    </row>
    <row r="544" spans="23:23" ht="14.25" customHeight="1">
      <c r="W544" s="34"/>
    </row>
    <row r="545" spans="23:23" ht="14.25" customHeight="1">
      <c r="W545" s="34"/>
    </row>
    <row r="546" spans="23:23" ht="14.25" customHeight="1">
      <c r="W546" s="34"/>
    </row>
    <row r="547" spans="23:23" ht="14.25" customHeight="1">
      <c r="W547" s="34"/>
    </row>
    <row r="548" spans="23:23" ht="14.25" customHeight="1">
      <c r="W548" s="34"/>
    </row>
    <row r="549" spans="23:23" ht="14.25" customHeight="1">
      <c r="W549" s="34"/>
    </row>
    <row r="550" spans="23:23" ht="14.25" customHeight="1">
      <c r="W550" s="34"/>
    </row>
    <row r="551" spans="23:23" ht="14.25" customHeight="1">
      <c r="W551" s="34"/>
    </row>
    <row r="552" spans="23:23" ht="14.25" customHeight="1">
      <c r="W552" s="34"/>
    </row>
    <row r="553" spans="23:23" ht="14.25" customHeight="1">
      <c r="W553" s="34"/>
    </row>
    <row r="554" spans="23:23" ht="14.25" customHeight="1">
      <c r="W554" s="34"/>
    </row>
    <row r="555" spans="23:23" ht="14.25" customHeight="1">
      <c r="W555" s="34"/>
    </row>
    <row r="556" spans="23:23" ht="14.25" customHeight="1">
      <c r="W556" s="34"/>
    </row>
    <row r="557" spans="23:23" ht="14.25" customHeight="1">
      <c r="W557" s="34"/>
    </row>
    <row r="558" spans="23:23" ht="14.25" customHeight="1">
      <c r="W558" s="34"/>
    </row>
    <row r="559" spans="23:23" ht="14.25" customHeight="1">
      <c r="W559" s="34"/>
    </row>
    <row r="560" spans="23:23" ht="14.25" customHeight="1">
      <c r="W560" s="34"/>
    </row>
    <row r="561" spans="23:23" ht="14.25" customHeight="1">
      <c r="W561" s="34"/>
    </row>
    <row r="562" spans="23:23" ht="14.25" customHeight="1">
      <c r="W562" s="34"/>
    </row>
    <row r="563" spans="23:23" ht="14.25" customHeight="1">
      <c r="W563" s="34"/>
    </row>
    <row r="564" spans="23:23" ht="14.25" customHeight="1">
      <c r="W564" s="34"/>
    </row>
    <row r="565" spans="23:23" ht="14.25" customHeight="1">
      <c r="W565" s="34"/>
    </row>
    <row r="566" spans="23:23" ht="14.25" customHeight="1">
      <c r="W566" s="34"/>
    </row>
    <row r="567" spans="23:23" ht="14.25" customHeight="1">
      <c r="W567" s="34"/>
    </row>
    <row r="568" spans="23:23" ht="14.25" customHeight="1">
      <c r="W568" s="34"/>
    </row>
    <row r="569" spans="23:23" ht="14.25" customHeight="1">
      <c r="W569" s="34"/>
    </row>
    <row r="570" spans="23:23" ht="14.25" customHeight="1">
      <c r="W570" s="34"/>
    </row>
    <row r="571" spans="23:23" ht="14.25" customHeight="1">
      <c r="W571" s="34"/>
    </row>
    <row r="572" spans="23:23" ht="14.25" customHeight="1">
      <c r="W572" s="34"/>
    </row>
    <row r="573" spans="23:23" ht="14.25" customHeight="1">
      <c r="W573" s="34"/>
    </row>
    <row r="574" spans="23:23" ht="14.25" customHeight="1">
      <c r="W574" s="34"/>
    </row>
    <row r="575" spans="23:23" ht="14.25" customHeight="1">
      <c r="W575" s="34"/>
    </row>
    <row r="576" spans="23:23" ht="14.25" customHeight="1">
      <c r="W576" s="34"/>
    </row>
    <row r="577" spans="23:23" ht="14.25" customHeight="1">
      <c r="W577" s="34"/>
    </row>
    <row r="578" spans="23:23" ht="14.25" customHeight="1">
      <c r="W578" s="34"/>
    </row>
    <row r="579" spans="23:23" ht="14.25" customHeight="1">
      <c r="W579" s="34"/>
    </row>
    <row r="580" spans="23:23" ht="14.25" customHeight="1">
      <c r="W580" s="34"/>
    </row>
    <row r="581" spans="23:23" ht="14.25" customHeight="1">
      <c r="W581" s="34"/>
    </row>
    <row r="582" spans="23:23" ht="14.25" customHeight="1">
      <c r="W582" s="34"/>
    </row>
    <row r="583" spans="23:23" ht="14.25" customHeight="1">
      <c r="W583" s="34"/>
    </row>
    <row r="584" spans="23:23" ht="14.25" customHeight="1">
      <c r="W584" s="34"/>
    </row>
    <row r="585" spans="23:23" ht="14.25" customHeight="1">
      <c r="W585" s="34"/>
    </row>
    <row r="586" spans="23:23" ht="14.25" customHeight="1">
      <c r="W586" s="34"/>
    </row>
    <row r="587" spans="23:23" ht="14.25" customHeight="1">
      <c r="W587" s="34"/>
    </row>
    <row r="588" spans="23:23" ht="14.25" customHeight="1">
      <c r="W588" s="34"/>
    </row>
    <row r="589" spans="23:23" ht="14.25" customHeight="1">
      <c r="W589" s="34"/>
    </row>
    <row r="590" spans="23:23" ht="14.25" customHeight="1">
      <c r="W590" s="34"/>
    </row>
    <row r="591" spans="23:23" ht="14.25" customHeight="1">
      <c r="W591" s="34"/>
    </row>
    <row r="592" spans="23:23" ht="14.25" customHeight="1">
      <c r="W592" s="34"/>
    </row>
    <row r="593" spans="23:23" ht="14.25" customHeight="1">
      <c r="W593" s="34"/>
    </row>
    <row r="594" spans="23:23" ht="14.25" customHeight="1">
      <c r="W594" s="34"/>
    </row>
    <row r="595" spans="23:23" ht="14.25" customHeight="1">
      <c r="W595" s="34"/>
    </row>
    <row r="596" spans="23:23" ht="14.25" customHeight="1">
      <c r="W596" s="34"/>
    </row>
    <row r="597" spans="23:23" ht="14.25" customHeight="1">
      <c r="W597" s="34"/>
    </row>
    <row r="598" spans="23:23" ht="14.25" customHeight="1">
      <c r="W598" s="34"/>
    </row>
    <row r="599" spans="23:23" ht="14.25" customHeight="1">
      <c r="W599" s="34"/>
    </row>
    <row r="600" spans="23:23" ht="14.25" customHeight="1">
      <c r="W600" s="34"/>
    </row>
    <row r="601" spans="23:23" ht="14.25" customHeight="1">
      <c r="W601" s="34"/>
    </row>
    <row r="602" spans="23:23" ht="14.25" customHeight="1">
      <c r="W602" s="34"/>
    </row>
    <row r="603" spans="23:23" ht="14.25" customHeight="1">
      <c r="W603" s="34"/>
    </row>
    <row r="604" spans="23:23" ht="14.25" customHeight="1">
      <c r="W604" s="34"/>
    </row>
    <row r="605" spans="23:23" ht="14.25" customHeight="1">
      <c r="W605" s="34"/>
    </row>
    <row r="606" spans="23:23" ht="14.25" customHeight="1">
      <c r="W606" s="34"/>
    </row>
    <row r="607" spans="23:23" ht="14.25" customHeight="1">
      <c r="W607" s="34"/>
    </row>
    <row r="608" spans="23:23" ht="14.25" customHeight="1">
      <c r="W608" s="34"/>
    </row>
    <row r="609" spans="23:23" ht="14.25" customHeight="1">
      <c r="W609" s="34"/>
    </row>
    <row r="610" spans="23:23" ht="14.25" customHeight="1">
      <c r="W610" s="34"/>
    </row>
    <row r="611" spans="23:23" ht="14.25" customHeight="1">
      <c r="W611" s="34"/>
    </row>
    <row r="612" spans="23:23" ht="14.25" customHeight="1">
      <c r="W612" s="34"/>
    </row>
    <row r="613" spans="23:23" ht="14.25" customHeight="1">
      <c r="W613" s="34"/>
    </row>
    <row r="614" spans="23:23" ht="14.25" customHeight="1">
      <c r="W614" s="34"/>
    </row>
    <row r="615" spans="23:23" ht="14.25" customHeight="1">
      <c r="W615" s="34"/>
    </row>
    <row r="616" spans="23:23" ht="14.25" customHeight="1">
      <c r="W616" s="34"/>
    </row>
    <row r="617" spans="23:23" ht="14.25" customHeight="1">
      <c r="W617" s="34"/>
    </row>
    <row r="618" spans="23:23" ht="14.25" customHeight="1">
      <c r="W618" s="34"/>
    </row>
    <row r="619" spans="23:23" ht="14.25" customHeight="1">
      <c r="W619" s="34"/>
    </row>
    <row r="620" spans="23:23" ht="14.25" customHeight="1">
      <c r="W620" s="34"/>
    </row>
    <row r="621" spans="23:23" ht="14.25" customHeight="1">
      <c r="W621" s="34"/>
    </row>
    <row r="622" spans="23:23" ht="14.25" customHeight="1">
      <c r="W622" s="34"/>
    </row>
    <row r="623" spans="23:23" ht="14.25" customHeight="1">
      <c r="W623" s="34"/>
    </row>
    <row r="624" spans="23:23" ht="14.25" customHeight="1">
      <c r="W624" s="34"/>
    </row>
    <row r="625" spans="23:23" ht="14.25" customHeight="1">
      <c r="W625" s="34"/>
    </row>
    <row r="626" spans="23:23" ht="14.25" customHeight="1">
      <c r="W626" s="34"/>
    </row>
    <row r="627" spans="23:23" ht="14.25" customHeight="1">
      <c r="W627" s="34"/>
    </row>
    <row r="628" spans="23:23" ht="14.25" customHeight="1">
      <c r="W628" s="34"/>
    </row>
    <row r="629" spans="23:23" ht="14.25" customHeight="1">
      <c r="W629" s="34"/>
    </row>
    <row r="630" spans="23:23" ht="14.25" customHeight="1">
      <c r="W630" s="34"/>
    </row>
    <row r="631" spans="23:23" ht="14.25" customHeight="1">
      <c r="W631" s="34"/>
    </row>
    <row r="632" spans="23:23" ht="14.25" customHeight="1">
      <c r="W632" s="34"/>
    </row>
    <row r="633" spans="23:23" ht="14.25" customHeight="1">
      <c r="W633" s="34"/>
    </row>
    <row r="634" spans="23:23" ht="14.25" customHeight="1">
      <c r="W634" s="34"/>
    </row>
    <row r="635" spans="23:23" ht="14.25" customHeight="1">
      <c r="W635" s="34"/>
    </row>
    <row r="636" spans="23:23" ht="14.25" customHeight="1">
      <c r="W636" s="34"/>
    </row>
    <row r="637" spans="23:23" ht="14.25" customHeight="1">
      <c r="W637" s="34"/>
    </row>
    <row r="638" spans="23:23" ht="14.25" customHeight="1">
      <c r="W638" s="34"/>
    </row>
    <row r="639" spans="23:23" ht="14.25" customHeight="1">
      <c r="W639" s="34"/>
    </row>
    <row r="640" spans="23:23" ht="14.25" customHeight="1">
      <c r="W640" s="34"/>
    </row>
    <row r="641" spans="23:23" ht="14.25" customHeight="1">
      <c r="W641" s="34"/>
    </row>
    <row r="642" spans="23:23" ht="14.25" customHeight="1">
      <c r="W642" s="34"/>
    </row>
    <row r="643" spans="23:23" ht="14.25" customHeight="1">
      <c r="W643" s="34"/>
    </row>
    <row r="644" spans="23:23" ht="14.25" customHeight="1">
      <c r="W644" s="34"/>
    </row>
    <row r="645" spans="23:23" ht="14.25" customHeight="1">
      <c r="W645" s="34"/>
    </row>
    <row r="646" spans="23:23" ht="14.25" customHeight="1">
      <c r="W646" s="34"/>
    </row>
    <row r="647" spans="23:23" ht="14.25" customHeight="1">
      <c r="W647" s="34"/>
    </row>
    <row r="648" spans="23:23" ht="14.25" customHeight="1">
      <c r="W648" s="34"/>
    </row>
    <row r="649" spans="23:23" ht="14.25" customHeight="1">
      <c r="W649" s="34"/>
    </row>
    <row r="650" spans="23:23" ht="14.25" customHeight="1">
      <c r="W650" s="34"/>
    </row>
    <row r="651" spans="23:23" ht="14.25" customHeight="1">
      <c r="W651" s="34"/>
    </row>
    <row r="652" spans="23:23" ht="14.25" customHeight="1">
      <c r="W652" s="34"/>
    </row>
    <row r="653" spans="23:23" ht="14.25" customHeight="1">
      <c r="W653" s="34"/>
    </row>
    <row r="654" spans="23:23" ht="14.25" customHeight="1">
      <c r="W654" s="34"/>
    </row>
    <row r="655" spans="23:23" ht="14.25" customHeight="1">
      <c r="W655" s="34"/>
    </row>
    <row r="656" spans="23:23" ht="14.25" customHeight="1">
      <c r="W656" s="34"/>
    </row>
    <row r="657" spans="23:23" ht="14.25" customHeight="1">
      <c r="W657" s="34"/>
    </row>
    <row r="658" spans="23:23" ht="14.25" customHeight="1">
      <c r="W658" s="34"/>
    </row>
    <row r="659" spans="23:23" ht="14.25" customHeight="1">
      <c r="W659" s="34"/>
    </row>
    <row r="660" spans="23:23" ht="14.25" customHeight="1">
      <c r="W660" s="34"/>
    </row>
    <row r="661" spans="23:23" ht="14.25" customHeight="1">
      <c r="W661" s="34"/>
    </row>
    <row r="662" spans="23:23" ht="14.25" customHeight="1">
      <c r="W662" s="34"/>
    </row>
    <row r="663" spans="23:23" ht="14.25" customHeight="1">
      <c r="W663" s="34"/>
    </row>
    <row r="664" spans="23:23" ht="14.25" customHeight="1">
      <c r="W664" s="34"/>
    </row>
    <row r="665" spans="23:23" ht="14.25" customHeight="1">
      <c r="W665" s="34"/>
    </row>
    <row r="666" spans="23:23" ht="14.25" customHeight="1">
      <c r="W666" s="34"/>
    </row>
    <row r="667" spans="23:23" ht="14.25" customHeight="1">
      <c r="W667" s="34"/>
    </row>
    <row r="668" spans="23:23" ht="14.25" customHeight="1">
      <c r="W668" s="34"/>
    </row>
    <row r="669" spans="23:23" ht="14.25" customHeight="1">
      <c r="W669" s="34"/>
    </row>
    <row r="670" spans="23:23" ht="14.25" customHeight="1">
      <c r="W670" s="34"/>
    </row>
    <row r="671" spans="23:23" ht="14.25" customHeight="1">
      <c r="W671" s="34"/>
    </row>
    <row r="672" spans="23:23" ht="14.25" customHeight="1">
      <c r="W672" s="34"/>
    </row>
    <row r="673" spans="23:23" ht="14.25" customHeight="1">
      <c r="W673" s="34"/>
    </row>
    <row r="674" spans="23:23" ht="14.25" customHeight="1">
      <c r="W674" s="34"/>
    </row>
    <row r="675" spans="23:23" ht="14.25" customHeight="1">
      <c r="W675" s="34"/>
    </row>
    <row r="676" spans="23:23" ht="14.25" customHeight="1">
      <c r="W676" s="34"/>
    </row>
    <row r="677" spans="23:23" ht="14.25" customHeight="1">
      <c r="W677" s="34"/>
    </row>
    <row r="678" spans="23:23" ht="14.25" customHeight="1">
      <c r="W678" s="34"/>
    </row>
    <row r="679" spans="23:23" ht="14.25" customHeight="1">
      <c r="W679" s="34"/>
    </row>
    <row r="680" spans="23:23" ht="14.25" customHeight="1">
      <c r="W680" s="34"/>
    </row>
    <row r="681" spans="23:23" ht="14.25" customHeight="1">
      <c r="W681" s="34"/>
    </row>
    <row r="682" spans="23:23" ht="14.25" customHeight="1">
      <c r="W682" s="34"/>
    </row>
    <row r="683" spans="23:23" ht="14.25" customHeight="1">
      <c r="W683" s="34"/>
    </row>
    <row r="684" spans="23:23" ht="14.25" customHeight="1">
      <c r="W684" s="34"/>
    </row>
    <row r="685" spans="23:23" ht="14.25" customHeight="1">
      <c r="W685" s="34"/>
    </row>
    <row r="686" spans="23:23" ht="14.25" customHeight="1">
      <c r="W686" s="34"/>
    </row>
    <row r="687" spans="23:23" ht="14.25" customHeight="1">
      <c r="W687" s="34"/>
    </row>
    <row r="688" spans="23:23" ht="14.25" customHeight="1">
      <c r="W688" s="34"/>
    </row>
    <row r="689" spans="23:23" ht="14.25" customHeight="1">
      <c r="W689" s="34"/>
    </row>
    <row r="690" spans="23:23" ht="14.25" customHeight="1">
      <c r="W690" s="34"/>
    </row>
    <row r="691" spans="23:23" ht="14.25" customHeight="1">
      <c r="W691" s="34"/>
    </row>
    <row r="692" spans="23:23" ht="14.25" customHeight="1">
      <c r="W692" s="34"/>
    </row>
    <row r="693" spans="23:23" ht="14.25" customHeight="1">
      <c r="W693" s="34"/>
    </row>
    <row r="694" spans="23:23" ht="14.25" customHeight="1">
      <c r="W694" s="34"/>
    </row>
    <row r="695" spans="23:23" ht="14.25" customHeight="1">
      <c r="W695" s="34"/>
    </row>
    <row r="696" spans="23:23" ht="14.25" customHeight="1">
      <c r="W696" s="34"/>
    </row>
    <row r="697" spans="23:23" ht="14.25" customHeight="1">
      <c r="W697" s="34"/>
    </row>
    <row r="698" spans="23:23" ht="14.25" customHeight="1">
      <c r="W698" s="34"/>
    </row>
    <row r="699" spans="23:23" ht="14.25" customHeight="1">
      <c r="W699" s="34"/>
    </row>
    <row r="700" spans="23:23" ht="14.25" customHeight="1">
      <c r="W700" s="34"/>
    </row>
    <row r="701" spans="23:23" ht="14.25" customHeight="1">
      <c r="W701" s="34"/>
    </row>
    <row r="702" spans="23:23" ht="14.25" customHeight="1">
      <c r="W702" s="34"/>
    </row>
    <row r="703" spans="23:23" ht="14.25" customHeight="1">
      <c r="W703" s="34"/>
    </row>
    <row r="704" spans="23:23" ht="14.25" customHeight="1">
      <c r="W704" s="34"/>
    </row>
    <row r="705" spans="23:23" ht="14.25" customHeight="1">
      <c r="W705" s="34"/>
    </row>
    <row r="706" spans="23:23" ht="14.25" customHeight="1">
      <c r="W706" s="34"/>
    </row>
    <row r="707" spans="23:23" ht="14.25" customHeight="1">
      <c r="W707" s="34"/>
    </row>
    <row r="708" spans="23:23" ht="14.25" customHeight="1">
      <c r="W708" s="34"/>
    </row>
    <row r="709" spans="23:23" ht="14.25" customHeight="1">
      <c r="W709" s="34"/>
    </row>
    <row r="710" spans="23:23" ht="14.25" customHeight="1">
      <c r="W710" s="34"/>
    </row>
    <row r="711" spans="23:23" ht="14.25" customHeight="1">
      <c r="W711" s="34"/>
    </row>
    <row r="712" spans="23:23" ht="14.25" customHeight="1">
      <c r="W712" s="34"/>
    </row>
    <row r="713" spans="23:23" ht="14.25" customHeight="1">
      <c r="W713" s="34"/>
    </row>
    <row r="714" spans="23:23" ht="14.25" customHeight="1">
      <c r="W714" s="34"/>
    </row>
    <row r="715" spans="23:23" ht="14.25" customHeight="1">
      <c r="W715" s="34"/>
    </row>
    <row r="716" spans="23:23" ht="14.25" customHeight="1">
      <c r="W716" s="34"/>
    </row>
    <row r="717" spans="23:23" ht="14.25" customHeight="1">
      <c r="W717" s="34"/>
    </row>
    <row r="718" spans="23:23" ht="14.25" customHeight="1">
      <c r="W718" s="34"/>
    </row>
    <row r="719" spans="23:23" ht="14.25" customHeight="1">
      <c r="W719" s="34"/>
    </row>
    <row r="720" spans="23:23" ht="14.25" customHeight="1">
      <c r="W720" s="34"/>
    </row>
    <row r="721" spans="23:23" ht="14.25" customHeight="1">
      <c r="W721" s="34"/>
    </row>
    <row r="722" spans="23:23" ht="14.25" customHeight="1">
      <c r="W722" s="34"/>
    </row>
    <row r="723" spans="23:23" ht="14.25" customHeight="1">
      <c r="W723" s="34"/>
    </row>
    <row r="724" spans="23:23" ht="14.25" customHeight="1">
      <c r="W724" s="34"/>
    </row>
    <row r="725" spans="23:23" ht="14.25" customHeight="1">
      <c r="W725" s="34"/>
    </row>
    <row r="726" spans="23:23" ht="14.25" customHeight="1">
      <c r="W726" s="34"/>
    </row>
    <row r="727" spans="23:23" ht="14.25" customHeight="1">
      <c r="W727" s="34"/>
    </row>
    <row r="728" spans="23:23" ht="14.25" customHeight="1">
      <c r="W728" s="34"/>
    </row>
    <row r="729" spans="23:23" ht="14.25" customHeight="1">
      <c r="W729" s="34"/>
    </row>
    <row r="730" spans="23:23" ht="14.25" customHeight="1">
      <c r="W730" s="34"/>
    </row>
    <row r="731" spans="23:23" ht="14.25" customHeight="1">
      <c r="W731" s="34"/>
    </row>
    <row r="732" spans="23:23" ht="14.25" customHeight="1">
      <c r="W732" s="34"/>
    </row>
    <row r="733" spans="23:23" ht="14.25" customHeight="1">
      <c r="W733" s="34"/>
    </row>
    <row r="734" spans="23:23" ht="14.25" customHeight="1">
      <c r="W734" s="34"/>
    </row>
    <row r="735" spans="23:23" ht="14.25" customHeight="1">
      <c r="W735" s="34"/>
    </row>
    <row r="736" spans="23:23" ht="14.25" customHeight="1">
      <c r="W736" s="34"/>
    </row>
    <row r="737" spans="23:23" ht="14.25" customHeight="1">
      <c r="W737" s="34"/>
    </row>
    <row r="738" spans="23:23" ht="14.25" customHeight="1">
      <c r="W738" s="34"/>
    </row>
    <row r="739" spans="23:23" ht="14.25" customHeight="1">
      <c r="W739" s="34"/>
    </row>
    <row r="740" spans="23:23" ht="14.25" customHeight="1">
      <c r="W740" s="34"/>
    </row>
    <row r="741" spans="23:23" ht="14.25" customHeight="1">
      <c r="W741" s="34"/>
    </row>
    <row r="742" spans="23:23" ht="14.25" customHeight="1">
      <c r="W742" s="34"/>
    </row>
    <row r="743" spans="23:23" ht="14.25" customHeight="1">
      <c r="W743" s="34"/>
    </row>
    <row r="744" spans="23:23" ht="14.25" customHeight="1">
      <c r="W744" s="34"/>
    </row>
    <row r="745" spans="23:23" ht="14.25" customHeight="1">
      <c r="W745" s="34"/>
    </row>
    <row r="746" spans="23:23" ht="14.25" customHeight="1">
      <c r="W746" s="34"/>
    </row>
    <row r="747" spans="23:23" ht="14.25" customHeight="1">
      <c r="W747" s="34"/>
    </row>
    <row r="748" spans="23:23" ht="14.25" customHeight="1">
      <c r="W748" s="34"/>
    </row>
    <row r="749" spans="23:23" ht="14.25" customHeight="1">
      <c r="W749" s="34"/>
    </row>
    <row r="750" spans="23:23" ht="14.25" customHeight="1">
      <c r="W750" s="34"/>
    </row>
    <row r="751" spans="23:23" ht="14.25" customHeight="1">
      <c r="W751" s="34"/>
    </row>
    <row r="752" spans="23:23" ht="14.25" customHeight="1">
      <c r="W752" s="34"/>
    </row>
    <row r="753" spans="23:23" ht="14.25" customHeight="1">
      <c r="W753" s="34"/>
    </row>
    <row r="754" spans="23:23" ht="14.25" customHeight="1">
      <c r="W754" s="34"/>
    </row>
    <row r="755" spans="23:23" ht="14.25" customHeight="1">
      <c r="W755" s="34"/>
    </row>
    <row r="756" spans="23:23" ht="14.25" customHeight="1">
      <c r="W756" s="34"/>
    </row>
    <row r="757" spans="23:23" ht="14.25" customHeight="1">
      <c r="W757" s="34"/>
    </row>
    <row r="758" spans="23:23" ht="14.25" customHeight="1">
      <c r="W758" s="34"/>
    </row>
    <row r="759" spans="23:23" ht="14.25" customHeight="1">
      <c r="W759" s="34"/>
    </row>
    <row r="760" spans="23:23" ht="14.25" customHeight="1">
      <c r="W760" s="34"/>
    </row>
    <row r="761" spans="23:23" ht="14.25" customHeight="1">
      <c r="W761" s="34"/>
    </row>
    <row r="762" spans="23:23" ht="14.25" customHeight="1">
      <c r="W762" s="34"/>
    </row>
    <row r="763" spans="23:23" ht="14.25" customHeight="1">
      <c r="W763" s="34"/>
    </row>
    <row r="764" spans="23:23" ht="14.25" customHeight="1">
      <c r="W764" s="34"/>
    </row>
    <row r="765" spans="23:23" ht="14.25" customHeight="1">
      <c r="W765" s="34"/>
    </row>
    <row r="766" spans="23:23" ht="14.25" customHeight="1">
      <c r="W766" s="34"/>
    </row>
    <row r="767" spans="23:23" ht="14.25" customHeight="1">
      <c r="W767" s="34"/>
    </row>
    <row r="768" spans="23:23" ht="14.25" customHeight="1">
      <c r="W768" s="34"/>
    </row>
    <row r="769" spans="23:23" ht="14.25" customHeight="1">
      <c r="W769" s="34"/>
    </row>
    <row r="770" spans="23:23" ht="14.25" customHeight="1">
      <c r="W770" s="34"/>
    </row>
    <row r="771" spans="23:23" ht="14.25" customHeight="1">
      <c r="W771" s="34"/>
    </row>
    <row r="772" spans="23:23" ht="14.25" customHeight="1">
      <c r="W772" s="34"/>
    </row>
    <row r="773" spans="23:23" ht="14.25" customHeight="1">
      <c r="W773" s="34"/>
    </row>
    <row r="774" spans="23:23" ht="14.25" customHeight="1">
      <c r="W774" s="34"/>
    </row>
    <row r="775" spans="23:23" ht="14.25" customHeight="1">
      <c r="W775" s="34"/>
    </row>
    <row r="776" spans="23:23" ht="14.25" customHeight="1">
      <c r="W776" s="34"/>
    </row>
    <row r="777" spans="23:23" ht="14.25" customHeight="1">
      <c r="W777" s="34"/>
    </row>
    <row r="778" spans="23:23" ht="14.25" customHeight="1">
      <c r="W778" s="34"/>
    </row>
    <row r="779" spans="23:23" ht="14.25" customHeight="1">
      <c r="W779" s="34"/>
    </row>
    <row r="780" spans="23:23" ht="14.25" customHeight="1">
      <c r="W780" s="34"/>
    </row>
    <row r="781" spans="23:23" ht="14.25" customHeight="1">
      <c r="W781" s="34"/>
    </row>
    <row r="782" spans="23:23" ht="14.25" customHeight="1">
      <c r="W782" s="34"/>
    </row>
    <row r="783" spans="23:23" ht="14.25" customHeight="1">
      <c r="W783" s="34"/>
    </row>
    <row r="784" spans="23:23" ht="14.25" customHeight="1">
      <c r="W784" s="34"/>
    </row>
    <row r="785" spans="23:23" ht="14.25" customHeight="1">
      <c r="W785" s="34"/>
    </row>
    <row r="786" spans="23:23" ht="14.25" customHeight="1">
      <c r="W786" s="34"/>
    </row>
    <row r="787" spans="23:23" ht="14.25" customHeight="1">
      <c r="W787" s="34"/>
    </row>
    <row r="788" spans="23:23" ht="14.25" customHeight="1">
      <c r="W788" s="34"/>
    </row>
    <row r="789" spans="23:23" ht="14.25" customHeight="1">
      <c r="W789" s="34"/>
    </row>
    <row r="790" spans="23:23" ht="14.25" customHeight="1">
      <c r="W790" s="34"/>
    </row>
    <row r="791" spans="23:23" ht="14.25" customHeight="1">
      <c r="W791" s="34"/>
    </row>
    <row r="792" spans="23:23" ht="14.25" customHeight="1">
      <c r="W792" s="34"/>
    </row>
    <row r="793" spans="23:23" ht="14.25" customHeight="1">
      <c r="W793" s="34"/>
    </row>
    <row r="794" spans="23:23" ht="14.25" customHeight="1">
      <c r="W794" s="34"/>
    </row>
    <row r="795" spans="23:23" ht="14.25" customHeight="1">
      <c r="W795" s="34"/>
    </row>
    <row r="796" spans="23:23" ht="14.25" customHeight="1">
      <c r="W796" s="34"/>
    </row>
    <row r="797" spans="23:23" ht="14.25" customHeight="1">
      <c r="W797" s="34"/>
    </row>
    <row r="798" spans="23:23" ht="14.25" customHeight="1">
      <c r="W798" s="34"/>
    </row>
    <row r="799" spans="23:23" ht="14.25" customHeight="1">
      <c r="W799" s="34"/>
    </row>
    <row r="800" spans="23:23" ht="14.25" customHeight="1">
      <c r="W800" s="34"/>
    </row>
    <row r="801" spans="23:23" ht="14.25" customHeight="1">
      <c r="W801" s="34"/>
    </row>
    <row r="802" spans="23:23" ht="14.25" customHeight="1">
      <c r="W802" s="34"/>
    </row>
    <row r="803" spans="23:23" ht="14.25" customHeight="1">
      <c r="W803" s="34"/>
    </row>
    <row r="804" spans="23:23" ht="14.25" customHeight="1">
      <c r="W804" s="34"/>
    </row>
    <row r="805" spans="23:23" ht="14.25" customHeight="1">
      <c r="W805" s="34"/>
    </row>
    <row r="806" spans="23:23" ht="14.25" customHeight="1">
      <c r="W806" s="34"/>
    </row>
    <row r="807" spans="23:23" ht="14.25" customHeight="1">
      <c r="W807" s="34"/>
    </row>
    <row r="808" spans="23:23" ht="14.25" customHeight="1">
      <c r="W808" s="34"/>
    </row>
    <row r="809" spans="23:23" ht="14.25" customHeight="1">
      <c r="W809" s="34"/>
    </row>
    <row r="810" spans="23:23" ht="14.25" customHeight="1">
      <c r="W810" s="34"/>
    </row>
    <row r="811" spans="23:23" ht="14.25" customHeight="1">
      <c r="W811" s="34"/>
    </row>
    <row r="812" spans="23:23" ht="14.25" customHeight="1">
      <c r="W812" s="34"/>
    </row>
    <row r="813" spans="23:23" ht="14.25" customHeight="1">
      <c r="W813" s="34"/>
    </row>
    <row r="814" spans="23:23" ht="14.25" customHeight="1">
      <c r="W814" s="34"/>
    </row>
    <row r="815" spans="23:23" ht="14.25" customHeight="1">
      <c r="W815" s="34"/>
    </row>
    <row r="816" spans="23:23" ht="14.25" customHeight="1">
      <c r="W816" s="34"/>
    </row>
    <row r="817" spans="23:23" ht="14.25" customHeight="1">
      <c r="W817" s="34"/>
    </row>
    <row r="818" spans="23:23" ht="14.25" customHeight="1">
      <c r="W818" s="34"/>
    </row>
    <row r="819" spans="23:23" ht="14.25" customHeight="1">
      <c r="W819" s="34"/>
    </row>
    <row r="820" spans="23:23" ht="14.25" customHeight="1">
      <c r="W820" s="34"/>
    </row>
    <row r="821" spans="23:23" ht="14.25" customHeight="1">
      <c r="W821" s="34"/>
    </row>
    <row r="822" spans="23:23" ht="14.25" customHeight="1">
      <c r="W822" s="34"/>
    </row>
    <row r="823" spans="23:23" ht="14.25" customHeight="1">
      <c r="W823" s="34"/>
    </row>
    <row r="824" spans="23:23" ht="14.25" customHeight="1">
      <c r="W824" s="34"/>
    </row>
    <row r="825" spans="23:23" ht="14.25" customHeight="1">
      <c r="W825" s="34"/>
    </row>
    <row r="826" spans="23:23" ht="14.25" customHeight="1">
      <c r="W826" s="34"/>
    </row>
    <row r="827" spans="23:23" ht="14.25" customHeight="1">
      <c r="W827" s="34"/>
    </row>
    <row r="828" spans="23:23" ht="14.25" customHeight="1">
      <c r="W828" s="34"/>
    </row>
    <row r="829" spans="23:23" ht="14.25" customHeight="1">
      <c r="W829" s="34"/>
    </row>
    <row r="830" spans="23:23" ht="14.25" customHeight="1">
      <c r="W830" s="34"/>
    </row>
    <row r="831" spans="23:23" ht="14.25" customHeight="1">
      <c r="W831" s="34"/>
    </row>
    <row r="832" spans="23:23" ht="14.25" customHeight="1">
      <c r="W832" s="34"/>
    </row>
    <row r="833" spans="23:23" ht="14.25" customHeight="1">
      <c r="W833" s="34"/>
    </row>
    <row r="834" spans="23:23" ht="14.25" customHeight="1">
      <c r="W834" s="34"/>
    </row>
    <row r="835" spans="23:23" ht="14.25" customHeight="1">
      <c r="W835" s="34"/>
    </row>
    <row r="836" spans="23:23" ht="14.25" customHeight="1">
      <c r="W836" s="34"/>
    </row>
    <row r="837" spans="23:23" ht="14.25" customHeight="1">
      <c r="W837" s="34"/>
    </row>
    <row r="838" spans="23:23" ht="14.25" customHeight="1">
      <c r="W838" s="34"/>
    </row>
    <row r="839" spans="23:23" ht="14.25" customHeight="1">
      <c r="W839" s="34"/>
    </row>
    <row r="840" spans="23:23" ht="14.25" customHeight="1">
      <c r="W840" s="34"/>
    </row>
    <row r="841" spans="23:23" ht="14.25" customHeight="1">
      <c r="W841" s="34"/>
    </row>
    <row r="842" spans="23:23" ht="14.25" customHeight="1">
      <c r="W842" s="34"/>
    </row>
    <row r="843" spans="23:23" ht="14.25" customHeight="1">
      <c r="W843" s="34"/>
    </row>
    <row r="844" spans="23:23" ht="14.25" customHeight="1">
      <c r="W844" s="34"/>
    </row>
    <row r="845" spans="23:23" ht="14.25" customHeight="1">
      <c r="W845" s="34"/>
    </row>
    <row r="846" spans="23:23" ht="14.25" customHeight="1">
      <c r="W846" s="34"/>
    </row>
    <row r="847" spans="23:23" ht="14.25" customHeight="1">
      <c r="W847" s="34"/>
    </row>
    <row r="848" spans="23:23" ht="14.25" customHeight="1">
      <c r="W848" s="34"/>
    </row>
    <row r="849" spans="23:23" ht="14.25" customHeight="1">
      <c r="W849" s="34"/>
    </row>
    <row r="850" spans="23:23" ht="14.25" customHeight="1">
      <c r="W850" s="34"/>
    </row>
    <row r="851" spans="23:23" ht="14.25" customHeight="1">
      <c r="W851" s="34"/>
    </row>
    <row r="852" spans="23:23" ht="14.25" customHeight="1">
      <c r="W852" s="34"/>
    </row>
    <row r="853" spans="23:23" ht="14.25" customHeight="1">
      <c r="W853" s="34"/>
    </row>
    <row r="854" spans="23:23" ht="14.25" customHeight="1">
      <c r="W854" s="34"/>
    </row>
    <row r="855" spans="23:23" ht="14.25" customHeight="1">
      <c r="W855" s="34"/>
    </row>
    <row r="856" spans="23:23" ht="14.25" customHeight="1">
      <c r="W856" s="34"/>
    </row>
    <row r="857" spans="23:23" ht="14.25" customHeight="1">
      <c r="W857" s="34"/>
    </row>
    <row r="858" spans="23:23" ht="14.25" customHeight="1">
      <c r="W858" s="34"/>
    </row>
    <row r="859" spans="23:23" ht="14.25" customHeight="1">
      <c r="W859" s="34"/>
    </row>
    <row r="860" spans="23:23" ht="14.25" customHeight="1">
      <c r="W860" s="34"/>
    </row>
    <row r="861" spans="23:23" ht="14.25" customHeight="1">
      <c r="W861" s="34"/>
    </row>
    <row r="862" spans="23:23" ht="14.25" customHeight="1">
      <c r="W862" s="34"/>
    </row>
    <row r="863" spans="23:23" ht="14.25" customHeight="1">
      <c r="W863" s="34"/>
    </row>
    <row r="864" spans="23:23" ht="14.25" customHeight="1">
      <c r="W864" s="34"/>
    </row>
    <row r="865" spans="23:23" ht="14.25" customHeight="1">
      <c r="W865" s="34"/>
    </row>
    <row r="866" spans="23:23" ht="14.25" customHeight="1">
      <c r="W866" s="34"/>
    </row>
    <row r="867" spans="23:23" ht="14.25" customHeight="1">
      <c r="W867" s="34"/>
    </row>
    <row r="868" spans="23:23" ht="14.25" customHeight="1">
      <c r="W868" s="34"/>
    </row>
    <row r="869" spans="23:23" ht="14.25" customHeight="1">
      <c r="W869" s="34"/>
    </row>
    <row r="870" spans="23:23" ht="14.25" customHeight="1">
      <c r="W870" s="34"/>
    </row>
    <row r="871" spans="23:23" ht="14.25" customHeight="1">
      <c r="W871" s="34"/>
    </row>
    <row r="872" spans="23:23" ht="14.25" customHeight="1">
      <c r="W872" s="34"/>
    </row>
    <row r="873" spans="23:23" ht="14.25" customHeight="1">
      <c r="W873" s="34"/>
    </row>
    <row r="874" spans="23:23" ht="14.25" customHeight="1">
      <c r="W874" s="34"/>
    </row>
    <row r="875" spans="23:23" ht="14.25" customHeight="1">
      <c r="W875" s="34"/>
    </row>
    <row r="876" spans="23:23" ht="14.25" customHeight="1">
      <c r="W876" s="34"/>
    </row>
    <row r="877" spans="23:23" ht="14.25" customHeight="1">
      <c r="W877" s="34"/>
    </row>
    <row r="878" spans="23:23" ht="14.25" customHeight="1">
      <c r="W878" s="34"/>
    </row>
    <row r="879" spans="23:23" ht="14.25" customHeight="1">
      <c r="W879" s="34"/>
    </row>
    <row r="880" spans="23:23" ht="14.25" customHeight="1">
      <c r="W880" s="34"/>
    </row>
    <row r="881" spans="23:23" ht="14.25" customHeight="1">
      <c r="W881" s="34"/>
    </row>
    <row r="882" spans="23:23" ht="14.25" customHeight="1">
      <c r="W882" s="34"/>
    </row>
    <row r="883" spans="23:23" ht="14.25" customHeight="1">
      <c r="W883" s="34"/>
    </row>
    <row r="884" spans="23:23" ht="14.25" customHeight="1">
      <c r="W884" s="34"/>
    </row>
    <row r="885" spans="23:23" ht="14.25" customHeight="1">
      <c r="W885" s="34"/>
    </row>
    <row r="886" spans="23:23" ht="14.25" customHeight="1">
      <c r="W886" s="34"/>
    </row>
    <row r="887" spans="23:23" ht="14.25" customHeight="1">
      <c r="W887" s="34"/>
    </row>
    <row r="888" spans="23:23" ht="14.25" customHeight="1">
      <c r="W888" s="34"/>
    </row>
    <row r="889" spans="23:23" ht="14.25" customHeight="1">
      <c r="W889" s="34"/>
    </row>
    <row r="890" spans="23:23" ht="14.25" customHeight="1">
      <c r="W890" s="34"/>
    </row>
    <row r="891" spans="23:23" ht="14.25" customHeight="1">
      <c r="W891" s="34"/>
    </row>
    <row r="892" spans="23:23" ht="14.25" customHeight="1">
      <c r="W892" s="34"/>
    </row>
    <row r="893" spans="23:23" ht="14.25" customHeight="1">
      <c r="W893" s="34"/>
    </row>
    <row r="894" spans="23:23" ht="14.25" customHeight="1">
      <c r="W894" s="34"/>
    </row>
    <row r="895" spans="23:23" ht="14.25" customHeight="1">
      <c r="W895" s="34"/>
    </row>
    <row r="896" spans="23:23" ht="14.25" customHeight="1">
      <c r="W896" s="34"/>
    </row>
    <row r="897" spans="23:23" ht="14.25" customHeight="1">
      <c r="W897" s="34"/>
    </row>
    <row r="898" spans="23:23" ht="14.25" customHeight="1">
      <c r="W898" s="34"/>
    </row>
    <row r="899" spans="23:23" ht="14.25" customHeight="1">
      <c r="W899" s="34"/>
    </row>
    <row r="900" spans="23:23" ht="14.25" customHeight="1">
      <c r="W900" s="34"/>
    </row>
    <row r="901" spans="23:23" ht="14.25" customHeight="1">
      <c r="W901" s="34"/>
    </row>
    <row r="902" spans="23:23" ht="14.25" customHeight="1">
      <c r="W902" s="34"/>
    </row>
    <row r="903" spans="23:23" ht="14.25" customHeight="1">
      <c r="W903" s="34"/>
    </row>
    <row r="904" spans="23:23" ht="14.25" customHeight="1">
      <c r="W904" s="34"/>
    </row>
    <row r="905" spans="23:23" ht="14.25" customHeight="1">
      <c r="W905" s="34"/>
    </row>
    <row r="906" spans="23:23" ht="14.25" customHeight="1">
      <c r="W906" s="34"/>
    </row>
    <row r="907" spans="23:23" ht="14.25" customHeight="1">
      <c r="W907" s="34"/>
    </row>
    <row r="908" spans="23:23" ht="14.25" customHeight="1">
      <c r="W908" s="34"/>
    </row>
    <row r="909" spans="23:23" ht="14.25" customHeight="1">
      <c r="W909" s="34"/>
    </row>
    <row r="910" spans="23:23" ht="14.25" customHeight="1">
      <c r="W910" s="34"/>
    </row>
    <row r="911" spans="23:23" ht="14.25" customHeight="1">
      <c r="W911" s="34"/>
    </row>
    <row r="912" spans="23:23" ht="14.25" customHeight="1">
      <c r="W912" s="34"/>
    </row>
    <row r="913" spans="23:23" ht="14.25" customHeight="1">
      <c r="W913" s="34"/>
    </row>
    <row r="914" spans="23:23" ht="14.25" customHeight="1">
      <c r="W914" s="34"/>
    </row>
    <row r="915" spans="23:23" ht="14.25" customHeight="1">
      <c r="W915" s="34"/>
    </row>
    <row r="916" spans="23:23" ht="14.25" customHeight="1">
      <c r="W916" s="34"/>
    </row>
    <row r="917" spans="23:23" ht="14.25" customHeight="1">
      <c r="W917" s="34"/>
    </row>
    <row r="918" spans="23:23" ht="14.25" customHeight="1">
      <c r="W918" s="34"/>
    </row>
    <row r="919" spans="23:23" ht="14.25" customHeight="1">
      <c r="W919" s="34"/>
    </row>
    <row r="920" spans="23:23" ht="14.25" customHeight="1">
      <c r="W920" s="34"/>
    </row>
    <row r="921" spans="23:23" ht="14.25" customHeight="1">
      <c r="W921" s="34"/>
    </row>
    <row r="922" spans="23:23" ht="14.25" customHeight="1">
      <c r="W922" s="34"/>
    </row>
    <row r="923" spans="23:23" ht="14.25" customHeight="1">
      <c r="W923" s="34"/>
    </row>
    <row r="924" spans="23:23" ht="14.25" customHeight="1">
      <c r="W924" s="34"/>
    </row>
    <row r="925" spans="23:23" ht="14.25" customHeight="1">
      <c r="W925" s="34"/>
    </row>
    <row r="926" spans="23:23" ht="14.25" customHeight="1">
      <c r="W926" s="34"/>
    </row>
    <row r="927" spans="23:23" ht="14.25" customHeight="1">
      <c r="W927" s="34"/>
    </row>
    <row r="928" spans="23:23" ht="14.25" customHeight="1">
      <c r="W928" s="34"/>
    </row>
    <row r="929" spans="23:23" ht="14.25" customHeight="1">
      <c r="W929" s="34"/>
    </row>
    <row r="930" spans="23:23" ht="14.25" customHeight="1">
      <c r="W930" s="34"/>
    </row>
    <row r="931" spans="23:23" ht="14.25" customHeight="1">
      <c r="W931" s="34"/>
    </row>
    <row r="932" spans="23:23" ht="14.25" customHeight="1">
      <c r="W932" s="34"/>
    </row>
    <row r="933" spans="23:23" ht="14.25" customHeight="1">
      <c r="W933" s="34"/>
    </row>
    <row r="934" spans="23:23" ht="14.25" customHeight="1">
      <c r="W934" s="34"/>
    </row>
    <row r="935" spans="23:23" ht="14.25" customHeight="1">
      <c r="W935" s="34"/>
    </row>
    <row r="936" spans="23:23" ht="14.25" customHeight="1">
      <c r="W936" s="34"/>
    </row>
    <row r="937" spans="23:23" ht="14.25" customHeight="1">
      <c r="W937" s="34"/>
    </row>
    <row r="938" spans="23:23" ht="14.25" customHeight="1">
      <c r="W938" s="34"/>
    </row>
    <row r="939" spans="23:23" ht="14.25" customHeight="1">
      <c r="W939" s="34"/>
    </row>
    <row r="940" spans="23:23" ht="14.25" customHeight="1">
      <c r="W940" s="34"/>
    </row>
    <row r="941" spans="23:23" ht="14.25" customHeight="1">
      <c r="W941" s="34"/>
    </row>
    <row r="942" spans="23:23" ht="14.25" customHeight="1">
      <c r="W942" s="34"/>
    </row>
    <row r="943" spans="23:23" ht="14.25" customHeight="1">
      <c r="W943" s="34"/>
    </row>
    <row r="944" spans="23:23" ht="14.25" customHeight="1">
      <c r="W944" s="34"/>
    </row>
    <row r="945" spans="23:23" ht="14.25" customHeight="1">
      <c r="W945" s="34"/>
    </row>
    <row r="946" spans="23:23" ht="14.25" customHeight="1">
      <c r="W946" s="34"/>
    </row>
    <row r="947" spans="23:23" ht="14.25" customHeight="1">
      <c r="W947" s="34"/>
    </row>
    <row r="948" spans="23:23" ht="14.25" customHeight="1">
      <c r="W948" s="34"/>
    </row>
    <row r="949" spans="23:23" ht="14.25" customHeight="1">
      <c r="W949" s="34"/>
    </row>
    <row r="950" spans="23:23" ht="14.25" customHeight="1">
      <c r="W950" s="34"/>
    </row>
    <row r="951" spans="23:23" ht="14.25" customHeight="1">
      <c r="W951" s="34"/>
    </row>
    <row r="952" spans="23:23" ht="14.25" customHeight="1">
      <c r="W952" s="34"/>
    </row>
    <row r="953" spans="23:23" ht="14.25" customHeight="1">
      <c r="W953" s="34"/>
    </row>
    <row r="954" spans="23:23" ht="14.25" customHeight="1">
      <c r="W954" s="34"/>
    </row>
    <row r="955" spans="23:23" ht="14.25" customHeight="1">
      <c r="W955" s="34"/>
    </row>
    <row r="956" spans="23:23" ht="14.25" customHeight="1">
      <c r="W956" s="34"/>
    </row>
    <row r="957" spans="23:23" ht="14.25" customHeight="1">
      <c r="W957" s="34"/>
    </row>
    <row r="958" spans="23:23" ht="14.25" customHeight="1">
      <c r="W958" s="34"/>
    </row>
    <row r="959" spans="23:23" ht="14.25" customHeight="1">
      <c r="W959" s="34"/>
    </row>
    <row r="960" spans="23:23" ht="14.25" customHeight="1">
      <c r="W960" s="34"/>
    </row>
    <row r="961" spans="23:23" ht="14.25" customHeight="1">
      <c r="W961" s="34"/>
    </row>
    <row r="962" spans="23:23" ht="14.25" customHeight="1">
      <c r="W962" s="34"/>
    </row>
    <row r="963" spans="23:23" ht="14.25" customHeight="1">
      <c r="W963" s="34"/>
    </row>
    <row r="964" spans="23:23" ht="14.25" customHeight="1">
      <c r="W964" s="34"/>
    </row>
    <row r="965" spans="23:23" ht="14.25" customHeight="1">
      <c r="W965" s="34"/>
    </row>
    <row r="966" spans="23:23" ht="14.25" customHeight="1">
      <c r="W966" s="34"/>
    </row>
    <row r="967" spans="23:23" ht="14.25" customHeight="1">
      <c r="W967" s="34"/>
    </row>
    <row r="968" spans="23:23" ht="14.25" customHeight="1">
      <c r="W968" s="34"/>
    </row>
    <row r="969" spans="23:23" ht="14.25" customHeight="1">
      <c r="W969" s="34"/>
    </row>
    <row r="970" spans="23:23" ht="14.25" customHeight="1">
      <c r="W970" s="34"/>
    </row>
    <row r="971" spans="23:23" ht="14.25" customHeight="1">
      <c r="W971" s="34"/>
    </row>
    <row r="972" spans="23:23" ht="14.25" customHeight="1">
      <c r="W972" s="34"/>
    </row>
    <row r="973" spans="23:23" ht="14.25" customHeight="1">
      <c r="W973" s="34"/>
    </row>
    <row r="974" spans="23:23" ht="14.25" customHeight="1">
      <c r="W974" s="34"/>
    </row>
    <row r="975" spans="23:23" ht="14.25" customHeight="1">
      <c r="W975" s="34"/>
    </row>
    <row r="976" spans="23:23" ht="14.25" customHeight="1">
      <c r="W976" s="34"/>
    </row>
    <row r="977" spans="23:23" ht="14.25" customHeight="1">
      <c r="W977" s="34"/>
    </row>
    <row r="978" spans="23:23" ht="14.25" customHeight="1">
      <c r="W978" s="34"/>
    </row>
    <row r="979" spans="23:23" ht="14.25" customHeight="1">
      <c r="W979" s="34"/>
    </row>
    <row r="980" spans="23:23" ht="14.25" customHeight="1">
      <c r="W980" s="34"/>
    </row>
    <row r="981" spans="23:23" ht="14.25" customHeight="1">
      <c r="W981" s="34"/>
    </row>
    <row r="982" spans="23:23" ht="14.25" customHeight="1">
      <c r="W982" s="34"/>
    </row>
    <row r="983" spans="23:23" ht="14.25" customHeight="1">
      <c r="W983" s="34"/>
    </row>
    <row r="984" spans="23:23" ht="14.25" customHeight="1">
      <c r="W984" s="34"/>
    </row>
    <row r="985" spans="23:23" ht="14.25" customHeight="1">
      <c r="W985" s="34"/>
    </row>
    <row r="986" spans="23:23" ht="14.25" customHeight="1">
      <c r="W986" s="34"/>
    </row>
    <row r="987" spans="23:23" ht="14.25" customHeight="1">
      <c r="W987" s="34"/>
    </row>
    <row r="988" spans="23:23" ht="14.25" customHeight="1">
      <c r="W988" s="34"/>
    </row>
    <row r="989" spans="23:23" ht="14.25" customHeight="1">
      <c r="W989" s="34"/>
    </row>
    <row r="990" spans="23:23" ht="14.25" customHeight="1">
      <c r="W990" s="34"/>
    </row>
    <row r="991" spans="23:23" ht="14.25" customHeight="1">
      <c r="W991" s="34"/>
    </row>
    <row r="992" spans="23:23" ht="14.25" customHeight="1">
      <c r="W992" s="34"/>
    </row>
    <row r="993" spans="23:23" ht="14.25" customHeight="1">
      <c r="W993" s="34"/>
    </row>
    <row r="994" spans="23:23" ht="14.25" customHeight="1">
      <c r="W994" s="34"/>
    </row>
    <row r="995" spans="23:23" ht="14.25" customHeight="1">
      <c r="W995" s="34"/>
    </row>
    <row r="996" spans="23:23" ht="14.25" customHeight="1">
      <c r="W996" s="34"/>
    </row>
    <row r="997" spans="23:23" ht="14.25" customHeight="1">
      <c r="W997" s="34"/>
    </row>
    <row r="998" spans="23:23" ht="14.25" customHeight="1">
      <c r="W998" s="34"/>
    </row>
    <row r="999" spans="23:23" ht="14.25" customHeight="1">
      <c r="W999" s="34"/>
    </row>
    <row r="1000" spans="23:23" ht="14.25" customHeight="1">
      <c r="W1000" s="34"/>
    </row>
  </sheetData>
  <mergeCells count="3">
    <mergeCell ref="B1:H1"/>
    <mergeCell ref="I1:O1"/>
    <mergeCell ref="P1:V1"/>
  </mergeCells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topLeftCell="A71" workbookViewId="0">
      <selection activeCell="B85" sqref="B85"/>
    </sheetView>
  </sheetViews>
  <sheetFormatPr defaultColWidth="12.59765625" defaultRowHeight="15" customHeight="1"/>
  <cols>
    <col min="1" max="1" width="8.8984375" customWidth="1"/>
    <col min="2" max="2" width="8" customWidth="1"/>
    <col min="3" max="3" width="11.09765625" customWidth="1"/>
    <col min="4" max="4" width="10.19921875" customWidth="1"/>
    <col min="5" max="5" width="8.8984375" customWidth="1"/>
    <col min="6" max="6" width="8.59765625" customWidth="1"/>
    <col min="7" max="8" width="10.19921875" customWidth="1"/>
    <col min="9" max="9" width="9.09765625" customWidth="1"/>
    <col min="10" max="10" width="10.19921875" customWidth="1"/>
    <col min="11" max="11" width="10.8984375" customWidth="1"/>
    <col min="12" max="12" width="9.3984375" customWidth="1"/>
    <col min="13" max="15" width="10.19921875" customWidth="1"/>
    <col min="16" max="16" width="10" customWidth="1"/>
    <col min="17" max="18" width="10.19921875" customWidth="1"/>
    <col min="19" max="19" width="9.3984375" customWidth="1"/>
    <col min="20" max="21" width="7.59765625" customWidth="1"/>
    <col min="22" max="22" width="8.59765625" customWidth="1"/>
    <col min="23" max="24" width="11.3984375" customWidth="1"/>
    <col min="25" max="26" width="7.59765625" customWidth="1"/>
    <col min="27" max="27" width="13" customWidth="1"/>
    <col min="28" max="54" width="7.59765625" customWidth="1"/>
    <col min="55" max="55" width="13" customWidth="1"/>
    <col min="56" max="56" width="7.59765625" customWidth="1"/>
    <col min="57" max="57" width="11" customWidth="1"/>
    <col min="58" max="59" width="7.59765625" customWidth="1"/>
    <col min="60" max="60" width="11" customWidth="1"/>
    <col min="61" max="62" width="7.59765625" customWidth="1"/>
    <col min="63" max="63" width="13" customWidth="1"/>
    <col min="64" max="69" width="7.59765625" customWidth="1"/>
    <col min="70" max="70" width="12.59765625" customWidth="1"/>
    <col min="71" max="71" width="9" customWidth="1"/>
    <col min="72" max="73" width="7.59765625" customWidth="1"/>
    <col min="74" max="74" width="8" customWidth="1"/>
    <col min="75" max="75" width="9" customWidth="1"/>
    <col min="76" max="76" width="8.19921875" customWidth="1"/>
    <col min="77" max="79" width="7.59765625" customWidth="1"/>
  </cols>
  <sheetData>
    <row r="1" spans="1:71" ht="14.25" customHeight="1">
      <c r="A1" s="186" t="s">
        <v>5</v>
      </c>
      <c r="AB1" s="13" t="s">
        <v>420</v>
      </c>
      <c r="AO1" s="13" t="s">
        <v>421</v>
      </c>
      <c r="BC1" s="187" t="s">
        <v>422</v>
      </c>
      <c r="BD1" s="360" t="s">
        <v>420</v>
      </c>
      <c r="BE1" s="361"/>
      <c r="BF1" s="355"/>
      <c r="BG1" s="360" t="s">
        <v>421</v>
      </c>
      <c r="BH1" s="361"/>
      <c r="BI1" s="355"/>
      <c r="BK1" s="187" t="s">
        <v>422</v>
      </c>
      <c r="BL1" s="187" t="s">
        <v>420</v>
      </c>
      <c r="BM1" s="187" t="s">
        <v>420</v>
      </c>
      <c r="BN1" s="187" t="s">
        <v>421</v>
      </c>
      <c r="BO1" s="187" t="s">
        <v>421</v>
      </c>
      <c r="BQ1" s="34" t="s">
        <v>9</v>
      </c>
      <c r="BR1" s="188" t="s">
        <v>424</v>
      </c>
      <c r="BS1" s="188" t="s">
        <v>425</v>
      </c>
    </row>
    <row r="2" spans="1:71" ht="30" customHeight="1">
      <c r="A2" s="13" t="s">
        <v>9</v>
      </c>
      <c r="B2" s="137" t="s">
        <v>427</v>
      </c>
      <c r="C2" s="137" t="s">
        <v>429</v>
      </c>
      <c r="D2" s="137" t="s">
        <v>431</v>
      </c>
      <c r="E2" s="137" t="s">
        <v>432</v>
      </c>
      <c r="F2" s="137" t="s">
        <v>433</v>
      </c>
      <c r="G2" s="137" t="s">
        <v>434</v>
      </c>
      <c r="H2" s="137" t="s">
        <v>435</v>
      </c>
      <c r="I2" s="137" t="s">
        <v>436</v>
      </c>
      <c r="J2" s="137" t="s">
        <v>437</v>
      </c>
      <c r="K2" s="137" t="s">
        <v>438</v>
      </c>
      <c r="L2" s="137" t="s">
        <v>439</v>
      </c>
      <c r="M2" s="137" t="s">
        <v>427</v>
      </c>
      <c r="N2" s="137" t="s">
        <v>429</v>
      </c>
      <c r="O2" s="137" t="s">
        <v>431</v>
      </c>
      <c r="P2" s="137" t="s">
        <v>432</v>
      </c>
      <c r="Q2" s="137" t="s">
        <v>434</v>
      </c>
      <c r="R2" s="137" t="s">
        <v>435</v>
      </c>
      <c r="S2" s="189" t="s">
        <v>440</v>
      </c>
      <c r="T2" s="189" t="s">
        <v>441</v>
      </c>
      <c r="W2" s="189" t="s">
        <v>440</v>
      </c>
      <c r="X2" s="189" t="s">
        <v>441</v>
      </c>
      <c r="AA2" s="187" t="s">
        <v>9</v>
      </c>
      <c r="AB2" s="190" t="s">
        <v>442</v>
      </c>
      <c r="AC2" s="187" t="s">
        <v>444</v>
      </c>
      <c r="AD2" s="187" t="s">
        <v>445</v>
      </c>
      <c r="AE2" s="187" t="s">
        <v>446</v>
      </c>
      <c r="AF2" s="187" t="s">
        <v>447</v>
      </c>
      <c r="AG2" s="187" t="s">
        <v>448</v>
      </c>
      <c r="AH2" s="187" t="s">
        <v>449</v>
      </c>
      <c r="AI2" s="187" t="s">
        <v>450</v>
      </c>
      <c r="AJ2" s="187" t="s">
        <v>451</v>
      </c>
      <c r="AK2" s="187" t="s">
        <v>452</v>
      </c>
      <c r="AL2" s="187" t="s">
        <v>453</v>
      </c>
      <c r="AM2" s="187" t="s">
        <v>454</v>
      </c>
      <c r="AN2" s="187" t="s">
        <v>456</v>
      </c>
      <c r="AO2" s="190" t="s">
        <v>442</v>
      </c>
      <c r="AP2" s="187" t="s">
        <v>457</v>
      </c>
      <c r="AQ2" s="187" t="s">
        <v>458</v>
      </c>
      <c r="AR2" s="187" t="s">
        <v>459</v>
      </c>
      <c r="AS2" s="187" t="s">
        <v>460</v>
      </c>
      <c r="AT2" s="187" t="s">
        <v>461</v>
      </c>
      <c r="AU2" s="187" t="s">
        <v>462</v>
      </c>
      <c r="AV2" s="187" t="s">
        <v>463</v>
      </c>
      <c r="AW2" s="187" t="s">
        <v>464</v>
      </c>
      <c r="AX2" s="187" t="s">
        <v>465</v>
      </c>
      <c r="AY2" s="187" t="s">
        <v>466</v>
      </c>
      <c r="AZ2" s="187" t="s">
        <v>467</v>
      </c>
      <c r="BA2" s="187" t="s">
        <v>468</v>
      </c>
      <c r="BC2" s="187" t="s">
        <v>469</v>
      </c>
      <c r="BD2" s="191" t="s">
        <v>470</v>
      </c>
      <c r="BE2" s="191" t="s">
        <v>271</v>
      </c>
      <c r="BF2" s="191" t="s">
        <v>472</v>
      </c>
      <c r="BG2" s="191" t="s">
        <v>470</v>
      </c>
      <c r="BH2" s="191" t="s">
        <v>271</v>
      </c>
      <c r="BI2" s="191" t="s">
        <v>472</v>
      </c>
      <c r="BK2" s="187" t="s">
        <v>469</v>
      </c>
      <c r="BL2" s="187" t="s">
        <v>473</v>
      </c>
      <c r="BM2" s="187" t="s">
        <v>474</v>
      </c>
      <c r="BN2" s="187" t="s">
        <v>473</v>
      </c>
      <c r="BO2" s="187" t="s">
        <v>474</v>
      </c>
      <c r="BQ2" s="192">
        <v>34059</v>
      </c>
      <c r="BR2" s="193">
        <v>228.27339610563786</v>
      </c>
      <c r="BS2" s="193"/>
    </row>
    <row r="3" spans="1:71" ht="14.25" customHeight="1">
      <c r="A3" s="21">
        <v>36616</v>
      </c>
      <c r="B3" s="194">
        <v>826.13212043951035</v>
      </c>
      <c r="C3" s="194">
        <v>602.62278413580418</v>
      </c>
      <c r="D3" s="194">
        <v>60.275800840548257</v>
      </c>
      <c r="E3" s="194">
        <v>301.35407504843175</v>
      </c>
      <c r="F3" s="194">
        <v>-3.804454067</v>
      </c>
      <c r="G3" s="194">
        <v>-6.6049428864999999</v>
      </c>
      <c r="H3" s="194">
        <v>3.8980724586731883</v>
      </c>
      <c r="I3" s="194">
        <v>0</v>
      </c>
      <c r="J3" s="194">
        <v>417.52048861675377</v>
      </c>
      <c r="K3" s="195">
        <v>-14.463144744870696</v>
      </c>
      <c r="L3" s="194">
        <v>-121.50755610317992</v>
      </c>
      <c r="M3" s="194">
        <v>1438.7816317760994</v>
      </c>
      <c r="N3" s="194">
        <v>503.01082062937024</v>
      </c>
      <c r="O3" s="194">
        <v>109.40607660654682</v>
      </c>
      <c r="P3" s="194">
        <v>53.877385333941909</v>
      </c>
      <c r="Q3" s="194">
        <v>424.00261224529999</v>
      </c>
      <c r="R3" s="194">
        <v>416.3510052506</v>
      </c>
      <c r="S3" s="196">
        <f t="shared" ref="S3:S86" si="0">SUM(B3:E3)-SUM(M3:P3)</f>
        <v>-314.6911338816642</v>
      </c>
      <c r="T3" s="196">
        <f t="shared" ref="T3:T86" si="1">SUM(B3:L3)-SUM(M3:R3)</f>
        <v>-880.00628810368789</v>
      </c>
      <c r="V3" s="197" t="s">
        <v>478</v>
      </c>
      <c r="W3" s="198">
        <f t="shared" ref="W3:X3" si="2">SUM(S83:S86)</f>
        <v>-3775.9425956515452</v>
      </c>
      <c r="X3" s="199">
        <f t="shared" si="2"/>
        <v>-3919.5829273158261</v>
      </c>
      <c r="AA3" s="200">
        <v>36616</v>
      </c>
      <c r="AB3" s="201">
        <v>597.4</v>
      </c>
      <c r="AC3" s="202">
        <v>69.900000000000006</v>
      </c>
      <c r="AD3" s="202">
        <v>14.7</v>
      </c>
      <c r="AE3" s="202">
        <v>111.1</v>
      </c>
      <c r="AF3" s="202">
        <v>236.4</v>
      </c>
      <c r="AG3" s="202">
        <v>49.1</v>
      </c>
      <c r="AH3" s="202">
        <v>12.3</v>
      </c>
      <c r="AI3" s="202">
        <v>2.5</v>
      </c>
      <c r="AJ3" s="202">
        <v>5</v>
      </c>
      <c r="AK3" s="202">
        <v>28.4</v>
      </c>
      <c r="AL3" s="202">
        <v>61.2</v>
      </c>
      <c r="AM3" s="202">
        <v>6.5</v>
      </c>
      <c r="AN3" s="202">
        <v>0.1</v>
      </c>
      <c r="AO3" s="201">
        <v>501.8</v>
      </c>
      <c r="AP3" s="202">
        <v>24.3</v>
      </c>
      <c r="AQ3" s="202">
        <v>2.7</v>
      </c>
      <c r="AR3" s="202">
        <v>76.400000000000006</v>
      </c>
      <c r="AS3" s="202">
        <v>155.4</v>
      </c>
      <c r="AT3" s="202">
        <v>15.4</v>
      </c>
      <c r="AU3" s="202">
        <v>8.4</v>
      </c>
      <c r="AV3" s="202">
        <v>23.8</v>
      </c>
      <c r="AW3" s="202">
        <v>14.9</v>
      </c>
      <c r="AX3" s="202">
        <v>18</v>
      </c>
      <c r="AY3" s="202">
        <v>146.9</v>
      </c>
      <c r="AZ3" s="202">
        <v>7.2</v>
      </c>
      <c r="BA3" s="202">
        <v>8.6999999999999993</v>
      </c>
      <c r="BC3" s="200">
        <v>36616</v>
      </c>
      <c r="BD3" s="201">
        <v>60.2</v>
      </c>
      <c r="BE3" s="202">
        <v>18</v>
      </c>
      <c r="BF3" s="202">
        <v>42.2</v>
      </c>
      <c r="BG3" s="201">
        <v>109.8</v>
      </c>
      <c r="BH3" s="202">
        <v>2.6</v>
      </c>
      <c r="BI3" s="202">
        <v>107.2</v>
      </c>
      <c r="BK3" s="200">
        <v>36616</v>
      </c>
      <c r="BL3" s="201">
        <v>300.60000000000002</v>
      </c>
      <c r="BM3" s="202">
        <v>217.6</v>
      </c>
      <c r="BN3" s="201">
        <v>53.7</v>
      </c>
      <c r="BO3" s="202">
        <v>15.4</v>
      </c>
      <c r="BQ3" s="192">
        <v>34150</v>
      </c>
      <c r="BR3" s="193">
        <v>345.63410429597184</v>
      </c>
      <c r="BS3" s="193">
        <v>117.36070819033398</v>
      </c>
    </row>
    <row r="4" spans="1:71" ht="14.25" customHeight="1">
      <c r="A4" s="21">
        <v>36707</v>
      </c>
      <c r="B4" s="194">
        <v>780.95291438996207</v>
      </c>
      <c r="C4" s="194">
        <v>1054.2398913846398</v>
      </c>
      <c r="D4" s="194">
        <v>97.775360941340111</v>
      </c>
      <c r="E4" s="194">
        <v>334.33831456770702</v>
      </c>
      <c r="F4" s="194">
        <v>0.96478217450329939</v>
      </c>
      <c r="G4" s="194">
        <v>0.20104716980000092</v>
      </c>
      <c r="H4" s="194">
        <v>-4.5868525473979123</v>
      </c>
      <c r="I4" s="194">
        <v>0</v>
      </c>
      <c r="J4" s="194">
        <v>-286.83889054094561</v>
      </c>
      <c r="K4" s="195">
        <v>363.80881688603733</v>
      </c>
      <c r="L4" s="194">
        <v>4.3447180284889555</v>
      </c>
      <c r="M4" s="194">
        <v>1793.2250393121449</v>
      </c>
      <c r="N4" s="194">
        <v>477.19922157431324</v>
      </c>
      <c r="O4" s="194">
        <v>282.50544552247794</v>
      </c>
      <c r="P4" s="194">
        <v>62.81995187111135</v>
      </c>
      <c r="Q4" s="194">
        <v>358.13597467919999</v>
      </c>
      <c r="R4" s="194">
        <v>57.581823081700001</v>
      </c>
      <c r="S4" s="196">
        <f t="shared" si="0"/>
        <v>-348.44317699639851</v>
      </c>
      <c r="T4" s="196">
        <f t="shared" si="1"/>
        <v>-686.26735358681253</v>
      </c>
      <c r="V4" s="203" t="s">
        <v>488</v>
      </c>
      <c r="W4" s="204">
        <f t="shared" ref="W4:X4" si="3">W3*7.6</f>
        <v>-28697.163726951741</v>
      </c>
      <c r="X4" s="205">
        <f t="shared" si="3"/>
        <v>-29788.830247600275</v>
      </c>
      <c r="AA4" s="200">
        <v>36707</v>
      </c>
      <c r="AB4" s="201">
        <v>1049.3</v>
      </c>
      <c r="AC4" s="202">
        <v>113.1</v>
      </c>
      <c r="AD4" s="202">
        <v>15.2</v>
      </c>
      <c r="AE4" s="202">
        <v>138.19999999999999</v>
      </c>
      <c r="AF4" s="202">
        <v>585.29999999999995</v>
      </c>
      <c r="AG4" s="202">
        <v>57.3</v>
      </c>
      <c r="AH4" s="202">
        <v>8.8000000000000007</v>
      </c>
      <c r="AI4" s="202">
        <v>3.1</v>
      </c>
      <c r="AJ4" s="202">
        <v>30.9</v>
      </c>
      <c r="AK4" s="202">
        <v>29.3</v>
      </c>
      <c r="AL4" s="202">
        <v>62.4</v>
      </c>
      <c r="AM4" s="202">
        <v>5.6</v>
      </c>
      <c r="AN4" s="202">
        <v>0</v>
      </c>
      <c r="AO4" s="201">
        <v>477.2</v>
      </c>
      <c r="AP4" s="202">
        <v>25</v>
      </c>
      <c r="AQ4" s="202">
        <v>3.3</v>
      </c>
      <c r="AR4" s="202">
        <v>94.3</v>
      </c>
      <c r="AS4" s="202">
        <v>137</v>
      </c>
      <c r="AT4" s="202">
        <v>11.8</v>
      </c>
      <c r="AU4" s="202">
        <v>9.6</v>
      </c>
      <c r="AV4" s="202">
        <v>22.6</v>
      </c>
      <c r="AW4" s="202">
        <v>12.1</v>
      </c>
      <c r="AX4" s="202">
        <v>22.6</v>
      </c>
      <c r="AY4" s="202">
        <v>119.7</v>
      </c>
      <c r="AZ4" s="202">
        <v>8.3000000000000007</v>
      </c>
      <c r="BA4" s="202">
        <v>10.9</v>
      </c>
      <c r="BC4" s="200">
        <v>36707</v>
      </c>
      <c r="BD4" s="201">
        <v>97.8</v>
      </c>
      <c r="BE4" s="202">
        <v>19.8</v>
      </c>
      <c r="BF4" s="202">
        <v>78</v>
      </c>
      <c r="BG4" s="201">
        <v>282.8</v>
      </c>
      <c r="BH4" s="202">
        <v>3.8</v>
      </c>
      <c r="BI4" s="202">
        <v>279.10000000000002</v>
      </c>
      <c r="BK4" s="200">
        <v>36707</v>
      </c>
      <c r="BL4" s="201">
        <v>334.4</v>
      </c>
      <c r="BM4" s="202">
        <v>242.3</v>
      </c>
      <c r="BN4" s="201">
        <v>62.8</v>
      </c>
      <c r="BO4" s="202">
        <v>20.3</v>
      </c>
      <c r="BQ4" s="192">
        <v>34242</v>
      </c>
      <c r="BR4" s="193">
        <v>433.98608036060483</v>
      </c>
      <c r="BS4" s="193">
        <v>88.351976064632993</v>
      </c>
    </row>
    <row r="5" spans="1:71" ht="14.25" customHeight="1">
      <c r="A5" s="21">
        <v>36799</v>
      </c>
      <c r="B5" s="194">
        <v>880.607617364774</v>
      </c>
      <c r="C5" s="194">
        <v>2313.1520937692135</v>
      </c>
      <c r="D5" s="194">
        <v>60.897783967601896</v>
      </c>
      <c r="E5" s="194">
        <v>384.83075832958673</v>
      </c>
      <c r="F5" s="194">
        <v>2.9164467000000007</v>
      </c>
      <c r="G5" s="194">
        <v>30.4661451148</v>
      </c>
      <c r="H5" s="194">
        <v>-19.14557937381694</v>
      </c>
      <c r="I5" s="194">
        <v>0</v>
      </c>
      <c r="J5" s="194">
        <v>312.95726360961316</v>
      </c>
      <c r="K5" s="195">
        <v>291.65183348756676</v>
      </c>
      <c r="L5" s="194">
        <v>-829.92776522255326</v>
      </c>
      <c r="M5" s="194">
        <v>1827.1151238151597</v>
      </c>
      <c r="N5" s="194">
        <v>599.13332366076531</v>
      </c>
      <c r="O5" s="194">
        <v>185.40712453359077</v>
      </c>
      <c r="P5" s="194">
        <v>65.335267797044111</v>
      </c>
      <c r="Q5" s="194">
        <v>157.32695008180011</v>
      </c>
      <c r="R5" s="194">
        <v>323.11661765429989</v>
      </c>
      <c r="S5" s="196">
        <f t="shared" si="0"/>
        <v>962.497413624616</v>
      </c>
      <c r="T5" s="196">
        <f t="shared" si="1"/>
        <v>270.97219020412604</v>
      </c>
      <c r="V5" s="203" t="s">
        <v>276</v>
      </c>
      <c r="W5" s="209">
        <f>W4/SUM(bdp!$AR$109:$AR$112)</f>
        <v>-9.3335912001463947E-2</v>
      </c>
      <c r="X5" s="210">
        <f>X4/SUM(bdp!$AR$109:$AR$112)</f>
        <v>-9.688649599909091E-2</v>
      </c>
      <c r="AA5" s="200">
        <v>36799</v>
      </c>
      <c r="AB5" s="201">
        <v>2308.8000000000002</v>
      </c>
      <c r="AC5" s="202">
        <v>100.2</v>
      </c>
      <c r="AD5" s="202">
        <v>29.2</v>
      </c>
      <c r="AE5" s="202">
        <v>176.8</v>
      </c>
      <c r="AF5" s="202">
        <v>1817</v>
      </c>
      <c r="AG5" s="202">
        <v>52.1</v>
      </c>
      <c r="AH5" s="202">
        <v>7</v>
      </c>
      <c r="AI5" s="202">
        <v>3.4</v>
      </c>
      <c r="AJ5" s="202">
        <v>12</v>
      </c>
      <c r="AK5" s="202">
        <v>38.200000000000003</v>
      </c>
      <c r="AL5" s="202">
        <v>63.5</v>
      </c>
      <c r="AM5" s="202">
        <v>9.4</v>
      </c>
      <c r="AN5" s="202">
        <v>0</v>
      </c>
      <c r="AO5" s="201">
        <v>599.1</v>
      </c>
      <c r="AP5" s="202">
        <v>55.7</v>
      </c>
      <c r="AQ5" s="202">
        <v>5</v>
      </c>
      <c r="AR5" s="202">
        <v>102.8</v>
      </c>
      <c r="AS5" s="202">
        <v>181.9</v>
      </c>
      <c r="AT5" s="202">
        <v>17.7</v>
      </c>
      <c r="AU5" s="202">
        <v>10</v>
      </c>
      <c r="AV5" s="202">
        <v>31.4</v>
      </c>
      <c r="AW5" s="202">
        <v>13.9</v>
      </c>
      <c r="AX5" s="202">
        <v>20.5</v>
      </c>
      <c r="AY5" s="202">
        <v>138.69999999999999</v>
      </c>
      <c r="AZ5" s="202">
        <v>8.4</v>
      </c>
      <c r="BA5" s="202">
        <v>12.8</v>
      </c>
      <c r="BC5" s="200">
        <v>36799</v>
      </c>
      <c r="BD5" s="201">
        <v>60.9</v>
      </c>
      <c r="BE5" s="202">
        <v>23.5</v>
      </c>
      <c r="BF5" s="202">
        <v>37.4</v>
      </c>
      <c r="BG5" s="201">
        <v>186.4</v>
      </c>
      <c r="BH5" s="202">
        <v>3.7</v>
      </c>
      <c r="BI5" s="202">
        <v>182.7</v>
      </c>
      <c r="BK5" s="200">
        <v>36799</v>
      </c>
      <c r="BL5" s="201">
        <v>384.7</v>
      </c>
      <c r="BM5" s="202">
        <v>266.39999999999998</v>
      </c>
      <c r="BN5" s="201">
        <v>65.3</v>
      </c>
      <c r="BO5" s="202">
        <v>19.399999999999999</v>
      </c>
      <c r="BQ5" s="192">
        <v>34334</v>
      </c>
      <c r="BR5" s="193">
        <v>556.78955426730192</v>
      </c>
      <c r="BS5" s="193">
        <v>122.80347390669709</v>
      </c>
    </row>
    <row r="6" spans="1:71" ht="14.25" customHeight="1">
      <c r="A6" s="21">
        <v>36891</v>
      </c>
      <c r="B6" s="194">
        <v>945.02546106073783</v>
      </c>
      <c r="C6" s="194">
        <v>911.80053040674306</v>
      </c>
      <c r="D6" s="194">
        <v>158.43093105304234</v>
      </c>
      <c r="E6" s="194">
        <v>381.42240687047689</v>
      </c>
      <c r="F6" s="194">
        <v>7.1643018326892953</v>
      </c>
      <c r="G6" s="194">
        <v>30.946841358299999</v>
      </c>
      <c r="H6" s="194">
        <v>44.810751334491272</v>
      </c>
      <c r="I6" s="194">
        <v>0</v>
      </c>
      <c r="J6" s="194">
        <v>-622.90891032114087</v>
      </c>
      <c r="K6" s="195">
        <v>36.276109757642217</v>
      </c>
      <c r="L6" s="194">
        <v>-36.42058293681589</v>
      </c>
      <c r="M6" s="194">
        <v>2165.7289774210367</v>
      </c>
      <c r="N6" s="194">
        <v>549.95089381727041</v>
      </c>
      <c r="O6" s="194">
        <v>234.91475470787367</v>
      </c>
      <c r="P6" s="194">
        <v>83.191076995999993</v>
      </c>
      <c r="Q6" s="194">
        <v>137.89937930909997</v>
      </c>
      <c r="R6" s="194">
        <v>17.588067475499965</v>
      </c>
      <c r="S6" s="196">
        <f t="shared" si="0"/>
        <v>-637.1063735511807</v>
      </c>
      <c r="T6" s="196">
        <f t="shared" si="1"/>
        <v>-1332.7253093106144</v>
      </c>
      <c r="V6" s="203"/>
      <c r="W6" s="204"/>
      <c r="X6" s="205"/>
      <c r="AA6" s="200">
        <v>36891</v>
      </c>
      <c r="AB6" s="201">
        <v>906</v>
      </c>
      <c r="AC6" s="202">
        <v>97.8</v>
      </c>
      <c r="AD6" s="202">
        <v>16.100000000000001</v>
      </c>
      <c r="AE6" s="202">
        <v>179.7</v>
      </c>
      <c r="AF6" s="202">
        <v>371.1</v>
      </c>
      <c r="AG6" s="202">
        <v>56.3</v>
      </c>
      <c r="AH6" s="202">
        <v>8.1999999999999993</v>
      </c>
      <c r="AI6" s="202">
        <v>5.6</v>
      </c>
      <c r="AJ6" s="202">
        <v>24.6</v>
      </c>
      <c r="AK6" s="202">
        <v>53.6</v>
      </c>
      <c r="AL6" s="202">
        <v>81.400000000000006</v>
      </c>
      <c r="AM6" s="202">
        <v>11.2</v>
      </c>
      <c r="AN6" s="202">
        <v>0</v>
      </c>
      <c r="AO6" s="201">
        <v>549.4</v>
      </c>
      <c r="AP6" s="202">
        <v>22.2</v>
      </c>
      <c r="AQ6" s="202">
        <v>5.8</v>
      </c>
      <c r="AR6" s="202">
        <v>100.2</v>
      </c>
      <c r="AS6" s="202">
        <v>137.5</v>
      </c>
      <c r="AT6" s="202">
        <v>23.8</v>
      </c>
      <c r="AU6" s="202">
        <v>11.6</v>
      </c>
      <c r="AV6" s="202">
        <v>26.2</v>
      </c>
      <c r="AW6" s="202">
        <v>25.3</v>
      </c>
      <c r="AX6" s="202">
        <v>28.2</v>
      </c>
      <c r="AY6" s="202">
        <v>150.1</v>
      </c>
      <c r="AZ6" s="202">
        <v>8.5</v>
      </c>
      <c r="BA6" s="202">
        <v>10.199999999999999</v>
      </c>
      <c r="BC6" s="200">
        <v>36891</v>
      </c>
      <c r="BD6" s="201">
        <v>158.30000000000001</v>
      </c>
      <c r="BE6" s="202">
        <v>29</v>
      </c>
      <c r="BF6" s="202">
        <v>129.30000000000001</v>
      </c>
      <c r="BG6" s="201">
        <v>236.1</v>
      </c>
      <c r="BH6" s="202">
        <v>4.2</v>
      </c>
      <c r="BI6" s="202">
        <v>231.9</v>
      </c>
      <c r="BK6" s="200">
        <v>36891</v>
      </c>
      <c r="BL6" s="201">
        <v>380.9</v>
      </c>
      <c r="BM6" s="202">
        <v>278.60000000000002</v>
      </c>
      <c r="BN6" s="201">
        <v>83</v>
      </c>
      <c r="BO6" s="202">
        <v>31.3</v>
      </c>
      <c r="BQ6" s="192">
        <v>34424</v>
      </c>
      <c r="BR6" s="193">
        <v>623.49466550369448</v>
      </c>
      <c r="BS6" s="193">
        <v>66.705111236392554</v>
      </c>
    </row>
    <row r="7" spans="1:71" ht="14.25" customHeight="1">
      <c r="A7" s="21">
        <v>36981</v>
      </c>
      <c r="B7" s="194">
        <v>845.96856882332895</v>
      </c>
      <c r="C7" s="194">
        <v>739.13329043724764</v>
      </c>
      <c r="D7" s="194">
        <v>107.99165304069881</v>
      </c>
      <c r="E7" s="194">
        <v>346.21702354319325</v>
      </c>
      <c r="F7" s="194">
        <v>1.2678912006025929</v>
      </c>
      <c r="G7" s="194">
        <v>10.975533369478585</v>
      </c>
      <c r="H7" s="194">
        <v>53.836154136727536</v>
      </c>
      <c r="I7" s="194">
        <v>0</v>
      </c>
      <c r="J7" s="194">
        <v>-112.12524796861597</v>
      </c>
      <c r="K7" s="195">
        <v>152.76247661437964</v>
      </c>
      <c r="L7" s="194">
        <v>-6.4153044092123537</v>
      </c>
      <c r="M7" s="194">
        <v>1842.5388298408204</v>
      </c>
      <c r="N7" s="194">
        <v>519.49261634146285</v>
      </c>
      <c r="O7" s="194">
        <v>178.56375224487164</v>
      </c>
      <c r="P7" s="194">
        <v>58.255729573050516</v>
      </c>
      <c r="Q7" s="194">
        <v>122.97181675701644</v>
      </c>
      <c r="R7" s="194">
        <v>547.16490475929982</v>
      </c>
      <c r="S7" s="196">
        <f t="shared" si="0"/>
        <v>-559.5403921557363</v>
      </c>
      <c r="T7" s="196">
        <f t="shared" si="1"/>
        <v>-1129.3756107286922</v>
      </c>
      <c r="V7" s="203"/>
      <c r="W7" s="204"/>
      <c r="X7" s="205"/>
      <c r="AA7" s="200">
        <v>36981</v>
      </c>
      <c r="AB7" s="201">
        <v>737.3</v>
      </c>
      <c r="AC7" s="202">
        <v>102.7</v>
      </c>
      <c r="AD7" s="202">
        <v>13</v>
      </c>
      <c r="AE7" s="202">
        <v>146.30000000000001</v>
      </c>
      <c r="AF7" s="202">
        <v>255.4</v>
      </c>
      <c r="AG7" s="202">
        <v>40.5</v>
      </c>
      <c r="AH7" s="202">
        <v>10.4</v>
      </c>
      <c r="AI7" s="202">
        <v>4.4000000000000004</v>
      </c>
      <c r="AJ7" s="202">
        <v>40.200000000000003</v>
      </c>
      <c r="AK7" s="202">
        <v>37</v>
      </c>
      <c r="AL7" s="202">
        <v>79.2</v>
      </c>
      <c r="AM7" s="202">
        <v>8.1999999999999993</v>
      </c>
      <c r="AN7" s="202">
        <v>0</v>
      </c>
      <c r="AO7" s="201">
        <v>518.1</v>
      </c>
      <c r="AP7" s="202">
        <v>11.5</v>
      </c>
      <c r="AQ7" s="202">
        <v>3.4</v>
      </c>
      <c r="AR7" s="202">
        <v>88.7</v>
      </c>
      <c r="AS7" s="202">
        <v>168.8</v>
      </c>
      <c r="AT7" s="202">
        <v>18.3</v>
      </c>
      <c r="AU7" s="202">
        <v>11.8</v>
      </c>
      <c r="AV7" s="202">
        <v>19.8</v>
      </c>
      <c r="AW7" s="202">
        <v>13.7</v>
      </c>
      <c r="AX7" s="202">
        <v>34.4</v>
      </c>
      <c r="AY7" s="202">
        <v>131.19999999999999</v>
      </c>
      <c r="AZ7" s="202">
        <v>7.5</v>
      </c>
      <c r="BA7" s="202">
        <v>9.1999999999999993</v>
      </c>
      <c r="BC7" s="200">
        <v>36981</v>
      </c>
      <c r="BD7" s="201">
        <v>107.7</v>
      </c>
      <c r="BE7" s="202">
        <v>34.9</v>
      </c>
      <c r="BF7" s="202">
        <v>72.900000000000006</v>
      </c>
      <c r="BG7" s="201">
        <v>179.7</v>
      </c>
      <c r="BH7" s="202">
        <v>3.1</v>
      </c>
      <c r="BI7" s="202">
        <v>176.6</v>
      </c>
      <c r="BK7" s="200">
        <v>36981</v>
      </c>
      <c r="BL7" s="201">
        <v>345.3</v>
      </c>
      <c r="BM7" s="202">
        <v>244.4</v>
      </c>
      <c r="BN7" s="201">
        <v>58.2</v>
      </c>
      <c r="BO7" s="202">
        <v>23.3</v>
      </c>
      <c r="BQ7" s="192">
        <v>34515</v>
      </c>
      <c r="BR7" s="193">
        <v>713.88407043084783</v>
      </c>
      <c r="BS7" s="193">
        <v>90.38940492715335</v>
      </c>
    </row>
    <row r="8" spans="1:71" ht="14.25" customHeight="1">
      <c r="A8" s="21">
        <v>37072</v>
      </c>
      <c r="B8" s="194">
        <v>831.49977379313225</v>
      </c>
      <c r="C8" s="194">
        <v>1206.0247010013613</v>
      </c>
      <c r="D8" s="194">
        <v>116.87587642122085</v>
      </c>
      <c r="E8" s="194">
        <v>404.98166198271309</v>
      </c>
      <c r="F8" s="194">
        <v>139.42786596887058</v>
      </c>
      <c r="G8" s="194">
        <v>23.681501199978634</v>
      </c>
      <c r="H8" s="194">
        <v>44.535224549778064</v>
      </c>
      <c r="I8" s="194">
        <v>0</v>
      </c>
      <c r="J8" s="194">
        <v>-663.89103618172157</v>
      </c>
      <c r="K8" s="195">
        <v>456.39910861869379</v>
      </c>
      <c r="L8" s="194">
        <v>287.18260120521427</v>
      </c>
      <c r="M8" s="194">
        <v>2363.9415731551076</v>
      </c>
      <c r="N8" s="194">
        <v>584.80397596282603</v>
      </c>
      <c r="O8" s="194">
        <v>435.65024546094475</v>
      </c>
      <c r="P8" s="194">
        <v>57.901021150421116</v>
      </c>
      <c r="Q8" s="194">
        <v>232.01215643541624</v>
      </c>
      <c r="R8" s="194">
        <v>85.016977108099951</v>
      </c>
      <c r="S8" s="196">
        <f t="shared" si="0"/>
        <v>-882.91480253087229</v>
      </c>
      <c r="T8" s="196">
        <f t="shared" si="1"/>
        <v>-912.60867071357461</v>
      </c>
      <c r="V8" s="203" t="s">
        <v>478</v>
      </c>
      <c r="W8" s="204">
        <f t="shared" ref="W8:X8" si="4">SUM(S88:S91)</f>
        <v>-2765.2184069548757</v>
      </c>
      <c r="X8" s="205">
        <f t="shared" si="4"/>
        <v>-2908.8587386191575</v>
      </c>
      <c r="AA8" s="200">
        <v>37072</v>
      </c>
      <c r="AB8" s="201">
        <v>1205.5</v>
      </c>
      <c r="AC8" s="202">
        <v>130.6</v>
      </c>
      <c r="AD8" s="202">
        <v>19.600000000000001</v>
      </c>
      <c r="AE8" s="202">
        <v>178.5</v>
      </c>
      <c r="AF8" s="202">
        <v>611.79999999999995</v>
      </c>
      <c r="AG8" s="202">
        <v>66.599999999999994</v>
      </c>
      <c r="AH8" s="202">
        <v>15.4</v>
      </c>
      <c r="AI8" s="202">
        <v>3.9</v>
      </c>
      <c r="AJ8" s="202">
        <v>34.299999999999997</v>
      </c>
      <c r="AK8" s="202">
        <v>55.2</v>
      </c>
      <c r="AL8" s="202">
        <v>83.5</v>
      </c>
      <c r="AM8" s="202">
        <v>5.8</v>
      </c>
      <c r="AN8" s="202">
        <v>0.4</v>
      </c>
      <c r="AO8" s="201">
        <v>585.6</v>
      </c>
      <c r="AP8" s="202">
        <v>36.700000000000003</v>
      </c>
      <c r="AQ8" s="202">
        <v>4.3</v>
      </c>
      <c r="AR8" s="202">
        <v>121.3</v>
      </c>
      <c r="AS8" s="202">
        <v>162</v>
      </c>
      <c r="AT8" s="202">
        <v>16.100000000000001</v>
      </c>
      <c r="AU8" s="202">
        <v>12.5</v>
      </c>
      <c r="AV8" s="202">
        <v>26.7</v>
      </c>
      <c r="AW8" s="202">
        <v>15.5</v>
      </c>
      <c r="AX8" s="202">
        <v>32.9</v>
      </c>
      <c r="AY8" s="202">
        <v>141.80000000000001</v>
      </c>
      <c r="AZ8" s="202">
        <v>7.4</v>
      </c>
      <c r="BA8" s="202">
        <v>8.5</v>
      </c>
      <c r="BC8" s="200">
        <v>37072</v>
      </c>
      <c r="BD8" s="201">
        <v>117</v>
      </c>
      <c r="BE8" s="202">
        <v>39.1</v>
      </c>
      <c r="BF8" s="202">
        <v>77.8</v>
      </c>
      <c r="BG8" s="201">
        <v>435.6</v>
      </c>
      <c r="BH8" s="202">
        <v>3.6</v>
      </c>
      <c r="BI8" s="202">
        <v>431.9</v>
      </c>
      <c r="BK8" s="200">
        <v>37072</v>
      </c>
      <c r="BL8" s="201">
        <v>405.6</v>
      </c>
      <c r="BM8" s="202">
        <v>285.39999999999998</v>
      </c>
      <c r="BN8" s="201">
        <v>57.9</v>
      </c>
      <c r="BO8" s="202">
        <v>21.2</v>
      </c>
      <c r="BQ8" s="192">
        <v>34607</v>
      </c>
      <c r="BR8" s="193">
        <v>939.81106262289052</v>
      </c>
      <c r="BS8" s="193">
        <v>225.92699219204269</v>
      </c>
    </row>
    <row r="9" spans="1:71" ht="14.25" customHeight="1">
      <c r="A9" s="21">
        <v>37164</v>
      </c>
      <c r="B9" s="194">
        <v>998.10915160001343</v>
      </c>
      <c r="C9" s="194">
        <v>3010.3875415027178</v>
      </c>
      <c r="D9" s="194">
        <v>155.22137805826947</v>
      </c>
      <c r="E9" s="194">
        <v>387.93350000767134</v>
      </c>
      <c r="F9" s="194">
        <v>5.1045457919999997</v>
      </c>
      <c r="G9" s="194">
        <v>99.010493922978725</v>
      </c>
      <c r="H9" s="194">
        <v>-47.046853953563286</v>
      </c>
      <c r="I9" s="194">
        <v>0</v>
      </c>
      <c r="J9" s="194">
        <v>450.88922609393501</v>
      </c>
      <c r="K9" s="195">
        <v>479.37185957651332</v>
      </c>
      <c r="L9" s="194">
        <v>-645.77167182483402</v>
      </c>
      <c r="M9" s="194">
        <v>2223.6764638212244</v>
      </c>
      <c r="N9" s="194">
        <v>608.54943941354122</v>
      </c>
      <c r="O9" s="194">
        <v>240.19543460487338</v>
      </c>
      <c r="P9" s="194">
        <v>65.376034485751205</v>
      </c>
      <c r="Q9" s="194">
        <v>37.454986231516187</v>
      </c>
      <c r="R9" s="194">
        <v>171.58266659789996</v>
      </c>
      <c r="S9" s="196">
        <f t="shared" si="0"/>
        <v>1413.8541988432826</v>
      </c>
      <c r="T9" s="196">
        <f t="shared" si="1"/>
        <v>1546.3741456208959</v>
      </c>
      <c r="V9" s="203" t="s">
        <v>488</v>
      </c>
      <c r="W9" s="204">
        <f t="shared" ref="W9:X9" si="5">W8*7.6</f>
        <v>-21015.659892857053</v>
      </c>
      <c r="X9" s="205">
        <f t="shared" si="5"/>
        <v>-22107.326413505598</v>
      </c>
      <c r="AA9" s="200">
        <v>37164</v>
      </c>
      <c r="AB9" s="201">
        <v>2987.5</v>
      </c>
      <c r="AC9" s="202">
        <v>101.7</v>
      </c>
      <c r="AD9" s="202">
        <v>18</v>
      </c>
      <c r="AE9" s="202">
        <v>181</v>
      </c>
      <c r="AF9" s="202">
        <v>2401.1999999999998</v>
      </c>
      <c r="AG9" s="202">
        <v>69.7</v>
      </c>
      <c r="AH9" s="202">
        <v>7.7</v>
      </c>
      <c r="AI9" s="202">
        <v>6.3</v>
      </c>
      <c r="AJ9" s="202">
        <v>21.6</v>
      </c>
      <c r="AK9" s="202">
        <v>85.6</v>
      </c>
      <c r="AL9" s="202">
        <v>84</v>
      </c>
      <c r="AM9" s="202">
        <v>10</v>
      </c>
      <c r="AN9" s="202">
        <v>0.9</v>
      </c>
      <c r="AO9" s="201">
        <v>604.79999999999995</v>
      </c>
      <c r="AP9" s="202">
        <v>18.399999999999999</v>
      </c>
      <c r="AQ9" s="202">
        <v>4.7</v>
      </c>
      <c r="AR9" s="202">
        <v>112.5</v>
      </c>
      <c r="AS9" s="202">
        <v>190.1</v>
      </c>
      <c r="AT9" s="202">
        <v>19.399999999999999</v>
      </c>
      <c r="AU9" s="202">
        <v>11.5</v>
      </c>
      <c r="AV9" s="202">
        <v>24.2</v>
      </c>
      <c r="AW9" s="202">
        <v>18.8</v>
      </c>
      <c r="AX9" s="202">
        <v>51.4</v>
      </c>
      <c r="AY9" s="202">
        <v>135.9</v>
      </c>
      <c r="AZ9" s="202">
        <v>9.9</v>
      </c>
      <c r="BA9" s="202">
        <v>8.1999999999999993</v>
      </c>
      <c r="BC9" s="200">
        <v>37164</v>
      </c>
      <c r="BD9" s="201">
        <v>154.4</v>
      </c>
      <c r="BE9" s="202">
        <v>39.799999999999997</v>
      </c>
      <c r="BF9" s="202">
        <v>114.6</v>
      </c>
      <c r="BG9" s="201">
        <v>240</v>
      </c>
      <c r="BH9" s="202">
        <v>3.2</v>
      </c>
      <c r="BI9" s="202">
        <v>236.8</v>
      </c>
      <c r="BK9" s="200">
        <v>37164</v>
      </c>
      <c r="BL9" s="201">
        <v>385.7</v>
      </c>
      <c r="BM9" s="202">
        <v>275.7</v>
      </c>
      <c r="BN9" s="201">
        <v>64.900000000000006</v>
      </c>
      <c r="BO9" s="202">
        <v>23.5</v>
      </c>
      <c r="BQ9" s="192">
        <v>34699</v>
      </c>
      <c r="BR9" s="193">
        <v>1145.7247570410293</v>
      </c>
      <c r="BS9" s="193">
        <v>205.91369441813879</v>
      </c>
    </row>
    <row r="10" spans="1:71" ht="14.25" customHeight="1">
      <c r="A10" s="21">
        <v>37256</v>
      </c>
      <c r="B10" s="194">
        <v>1061.3695932551402</v>
      </c>
      <c r="C10" s="194">
        <v>993.28588321491736</v>
      </c>
      <c r="D10" s="194">
        <v>102.05835045255652</v>
      </c>
      <c r="E10" s="194">
        <v>421.67485921312448</v>
      </c>
      <c r="F10" s="194">
        <v>8.9332659430000003</v>
      </c>
      <c r="G10" s="194">
        <v>29.813658258678529</v>
      </c>
      <c r="H10" s="194">
        <v>91.905946871657989</v>
      </c>
      <c r="I10" s="194">
        <v>0</v>
      </c>
      <c r="J10" s="194">
        <v>-534.21869088635708</v>
      </c>
      <c r="K10" s="195">
        <v>460.44937644067926</v>
      </c>
      <c r="L10" s="194">
        <v>-232.32391206884688</v>
      </c>
      <c r="M10" s="194">
        <v>2265.2481256450455</v>
      </c>
      <c r="N10" s="194">
        <v>594.1754813285263</v>
      </c>
      <c r="O10" s="194">
        <v>167.48654064017779</v>
      </c>
      <c r="P10" s="194">
        <v>83.806230355199489</v>
      </c>
      <c r="Q10" s="194">
        <v>766.47108628721617</v>
      </c>
      <c r="R10" s="194">
        <v>37.197542356500023</v>
      </c>
      <c r="S10" s="196">
        <f t="shared" si="0"/>
        <v>-532.32769183321034</v>
      </c>
      <c r="T10" s="196">
        <f t="shared" si="1"/>
        <v>-1511.4366759181144</v>
      </c>
      <c r="V10" s="203" t="s">
        <v>276</v>
      </c>
      <c r="W10" s="209">
        <f>W9/SUM(bdp!$AU$109:$AU$112)</f>
        <v>-6.6167030189560522E-2</v>
      </c>
      <c r="X10" s="210">
        <f>X9/SUM(bdp!$AU$109:$AU$112)</f>
        <v>-6.9604101973027827E-2</v>
      </c>
      <c r="AA10" s="200">
        <v>37256</v>
      </c>
      <c r="AB10" s="201">
        <v>994.6</v>
      </c>
      <c r="AC10" s="202">
        <v>87.3</v>
      </c>
      <c r="AD10" s="202">
        <v>20.5</v>
      </c>
      <c r="AE10" s="202">
        <v>155</v>
      </c>
      <c r="AF10" s="202">
        <v>461.2</v>
      </c>
      <c r="AG10" s="202">
        <v>82.6</v>
      </c>
      <c r="AH10" s="202">
        <v>10.5</v>
      </c>
      <c r="AI10" s="202">
        <v>11.5</v>
      </c>
      <c r="AJ10" s="202">
        <v>22.5</v>
      </c>
      <c r="AK10" s="202">
        <v>40</v>
      </c>
      <c r="AL10" s="202">
        <v>97.4</v>
      </c>
      <c r="AM10" s="202">
        <v>5.9</v>
      </c>
      <c r="AN10" s="202">
        <v>0.3</v>
      </c>
      <c r="AO10" s="201">
        <v>594.6</v>
      </c>
      <c r="AP10" s="202">
        <v>27.8</v>
      </c>
      <c r="AQ10" s="202">
        <v>4.2</v>
      </c>
      <c r="AR10" s="202">
        <v>104.6</v>
      </c>
      <c r="AS10" s="202">
        <v>154.4</v>
      </c>
      <c r="AT10" s="202">
        <v>25.5</v>
      </c>
      <c r="AU10" s="202">
        <v>14.4</v>
      </c>
      <c r="AV10" s="202">
        <v>33.200000000000003</v>
      </c>
      <c r="AW10" s="202">
        <v>21.8</v>
      </c>
      <c r="AX10" s="202">
        <v>45.7</v>
      </c>
      <c r="AY10" s="202">
        <v>144.19999999999999</v>
      </c>
      <c r="AZ10" s="202">
        <v>10.5</v>
      </c>
      <c r="BA10" s="202">
        <v>8.4</v>
      </c>
      <c r="BC10" s="200">
        <v>37256</v>
      </c>
      <c r="BD10" s="201">
        <v>102</v>
      </c>
      <c r="BE10" s="202">
        <v>43.4</v>
      </c>
      <c r="BF10" s="202">
        <v>58.6</v>
      </c>
      <c r="BG10" s="201">
        <v>169.8</v>
      </c>
      <c r="BH10" s="202">
        <v>4.4000000000000004</v>
      </c>
      <c r="BI10" s="202">
        <v>165.4</v>
      </c>
      <c r="BK10" s="200">
        <v>37256</v>
      </c>
      <c r="BL10" s="201">
        <v>421.8</v>
      </c>
      <c r="BM10" s="202">
        <v>301.60000000000002</v>
      </c>
      <c r="BN10" s="201">
        <v>83.8</v>
      </c>
      <c r="BO10" s="202">
        <v>29.5</v>
      </c>
      <c r="BQ10" s="192">
        <v>34789</v>
      </c>
      <c r="BR10" s="193">
        <v>1161.8434519157961</v>
      </c>
      <c r="BS10" s="193">
        <v>16.118694874766788</v>
      </c>
    </row>
    <row r="11" spans="1:71" ht="14.25" customHeight="1">
      <c r="A11" s="21">
        <v>37346</v>
      </c>
      <c r="B11" s="194">
        <v>939.30534242471754</v>
      </c>
      <c r="C11" s="194">
        <v>774.21581681606324</v>
      </c>
      <c r="D11" s="194">
        <v>117.46222828274773</v>
      </c>
      <c r="E11" s="194">
        <v>409.77303362956116</v>
      </c>
      <c r="F11" s="194">
        <v>9.7299950499999994</v>
      </c>
      <c r="G11" s="194">
        <v>18.140284347658685</v>
      </c>
      <c r="H11" s="194">
        <v>182.11396479969358</v>
      </c>
      <c r="I11" s="194">
        <v>0</v>
      </c>
      <c r="J11" s="194">
        <v>-1175.7132194712353</v>
      </c>
      <c r="K11" s="195">
        <v>252.23408668900157</v>
      </c>
      <c r="L11" s="194">
        <v>-83.96046213407476</v>
      </c>
      <c r="M11" s="194">
        <v>2222.8713042246281</v>
      </c>
      <c r="N11" s="194">
        <v>592.77757323992512</v>
      </c>
      <c r="O11" s="194">
        <v>223.04168216967577</v>
      </c>
      <c r="P11" s="194">
        <v>84.798174434773074</v>
      </c>
      <c r="Q11" s="194">
        <v>257.39732960639577</v>
      </c>
      <c r="R11" s="194">
        <v>-23.65943324129023</v>
      </c>
      <c r="S11" s="196">
        <f t="shared" si="0"/>
        <v>-882.73231291591219</v>
      </c>
      <c r="T11" s="196">
        <f t="shared" si="1"/>
        <v>-1913.9255599999742</v>
      </c>
      <c r="V11" s="203"/>
      <c r="W11" s="204"/>
      <c r="X11" s="205"/>
      <c r="AA11" s="200">
        <v>37346</v>
      </c>
      <c r="AB11" s="201">
        <v>772.7</v>
      </c>
      <c r="AC11" s="202">
        <v>69.2</v>
      </c>
      <c r="AD11" s="202">
        <v>9.8000000000000007</v>
      </c>
      <c r="AE11" s="202">
        <v>134.80000000000001</v>
      </c>
      <c r="AF11" s="202">
        <v>269.5</v>
      </c>
      <c r="AG11" s="202">
        <v>62.8</v>
      </c>
      <c r="AH11" s="202">
        <v>2.9</v>
      </c>
      <c r="AI11" s="202">
        <v>40.200000000000003</v>
      </c>
      <c r="AJ11" s="202">
        <v>48.1</v>
      </c>
      <c r="AK11" s="202">
        <v>33.700000000000003</v>
      </c>
      <c r="AL11" s="202">
        <v>94.1</v>
      </c>
      <c r="AM11" s="202">
        <v>6.8</v>
      </c>
      <c r="AN11" s="202">
        <v>0.8</v>
      </c>
      <c r="AO11" s="201">
        <v>591.6</v>
      </c>
      <c r="AP11" s="202">
        <v>19.100000000000001</v>
      </c>
      <c r="AQ11" s="202">
        <v>4.4000000000000004</v>
      </c>
      <c r="AR11" s="202">
        <v>84.9</v>
      </c>
      <c r="AS11" s="202">
        <v>161.19999999999999</v>
      </c>
      <c r="AT11" s="202">
        <v>13.8</v>
      </c>
      <c r="AU11" s="202">
        <v>11.8</v>
      </c>
      <c r="AV11" s="202">
        <v>63.5</v>
      </c>
      <c r="AW11" s="202">
        <v>18.899999999999999</v>
      </c>
      <c r="AX11" s="202">
        <v>43.9</v>
      </c>
      <c r="AY11" s="202">
        <v>154.4</v>
      </c>
      <c r="AZ11" s="202">
        <v>8</v>
      </c>
      <c r="BA11" s="202">
        <v>7.9</v>
      </c>
      <c r="BC11" s="200">
        <v>37346</v>
      </c>
      <c r="BD11" s="201">
        <v>117.3</v>
      </c>
      <c r="BE11" s="202">
        <v>44.4</v>
      </c>
      <c r="BF11" s="202">
        <v>72.8</v>
      </c>
      <c r="BG11" s="201">
        <v>224.9</v>
      </c>
      <c r="BH11" s="202">
        <v>4.3</v>
      </c>
      <c r="BI11" s="202">
        <v>220.5</v>
      </c>
      <c r="BK11" s="200">
        <v>37346</v>
      </c>
      <c r="BL11" s="201">
        <v>409.2</v>
      </c>
      <c r="BM11" s="202">
        <v>299.89999999999998</v>
      </c>
      <c r="BN11" s="201">
        <v>84.7</v>
      </c>
      <c r="BO11" s="202">
        <v>30.4</v>
      </c>
      <c r="BQ11" s="192">
        <v>34880</v>
      </c>
      <c r="BR11" s="193">
        <v>1384.7634279311796</v>
      </c>
      <c r="BS11" s="193">
        <v>222.91997601538355</v>
      </c>
    </row>
    <row r="12" spans="1:71" ht="14.25" customHeight="1">
      <c r="A12" s="21">
        <v>37437</v>
      </c>
      <c r="B12" s="194">
        <v>1011.7536153870574</v>
      </c>
      <c r="C12" s="194">
        <v>1360.4472904388886</v>
      </c>
      <c r="D12" s="194">
        <v>119.5144484653722</v>
      </c>
      <c r="E12" s="194">
        <v>435.23698811144845</v>
      </c>
      <c r="F12" s="194">
        <v>485.50661206371217</v>
      </c>
      <c r="G12" s="194">
        <v>513.73456544435874</v>
      </c>
      <c r="H12" s="194">
        <v>16.078635540256784</v>
      </c>
      <c r="I12" s="194">
        <v>0</v>
      </c>
      <c r="J12" s="194">
        <v>-160.08303169863211</v>
      </c>
      <c r="K12" s="195">
        <v>301.92558547386761</v>
      </c>
      <c r="L12" s="194">
        <v>341.81956859746958</v>
      </c>
      <c r="M12" s="194">
        <v>2659.7372524141938</v>
      </c>
      <c r="N12" s="194">
        <v>701.65179329688635</v>
      </c>
      <c r="O12" s="194">
        <v>377.57422932685654</v>
      </c>
      <c r="P12" s="194">
        <v>90.382441992657562</v>
      </c>
      <c r="Q12" s="194">
        <v>391.49898187099609</v>
      </c>
      <c r="R12" s="194">
        <v>355.22396685550075</v>
      </c>
      <c r="S12" s="196">
        <f t="shared" si="0"/>
        <v>-902.39337462782805</v>
      </c>
      <c r="T12" s="196">
        <f t="shared" si="1"/>
        <v>-150.13438793329169</v>
      </c>
      <c r="V12" s="203"/>
      <c r="W12" s="204"/>
      <c r="X12" s="205"/>
      <c r="AA12" s="200">
        <v>37437</v>
      </c>
      <c r="AB12" s="201">
        <v>1359.5</v>
      </c>
      <c r="AC12" s="202">
        <v>87.3</v>
      </c>
      <c r="AD12" s="202">
        <v>12.1</v>
      </c>
      <c r="AE12" s="202">
        <v>156</v>
      </c>
      <c r="AF12" s="202">
        <v>817</v>
      </c>
      <c r="AG12" s="202">
        <v>76.099999999999994</v>
      </c>
      <c r="AH12" s="202">
        <v>5.2</v>
      </c>
      <c r="AI12" s="202">
        <v>14.9</v>
      </c>
      <c r="AJ12" s="202">
        <v>32.5</v>
      </c>
      <c r="AK12" s="202">
        <v>44.5</v>
      </c>
      <c r="AL12" s="202">
        <v>106.2</v>
      </c>
      <c r="AM12" s="202">
        <v>7.1</v>
      </c>
      <c r="AN12" s="202">
        <v>0.7</v>
      </c>
      <c r="AO12" s="201">
        <v>701.4</v>
      </c>
      <c r="AP12" s="202">
        <v>36.9</v>
      </c>
      <c r="AQ12" s="202">
        <v>5.2</v>
      </c>
      <c r="AR12" s="202">
        <v>109.9</v>
      </c>
      <c r="AS12" s="202">
        <v>222</v>
      </c>
      <c r="AT12" s="202">
        <v>16.3</v>
      </c>
      <c r="AU12" s="202">
        <v>7.1</v>
      </c>
      <c r="AV12" s="202">
        <v>30.7</v>
      </c>
      <c r="AW12" s="202">
        <v>19.899999999999999</v>
      </c>
      <c r="AX12" s="202">
        <v>47.9</v>
      </c>
      <c r="AY12" s="202">
        <v>188.5</v>
      </c>
      <c r="AZ12" s="202">
        <v>9.4</v>
      </c>
      <c r="BA12" s="202">
        <v>7.6</v>
      </c>
      <c r="BC12" s="200">
        <v>37437</v>
      </c>
      <c r="BD12" s="201">
        <v>119.5</v>
      </c>
      <c r="BE12" s="202">
        <v>46</v>
      </c>
      <c r="BF12" s="202">
        <v>73.5</v>
      </c>
      <c r="BG12" s="201">
        <v>380.6</v>
      </c>
      <c r="BH12" s="202">
        <v>4.2</v>
      </c>
      <c r="BI12" s="202">
        <v>376.4</v>
      </c>
      <c r="BK12" s="200">
        <v>37437</v>
      </c>
      <c r="BL12" s="201">
        <v>434.9</v>
      </c>
      <c r="BM12" s="202">
        <v>313.3</v>
      </c>
      <c r="BN12" s="201">
        <v>90.3</v>
      </c>
      <c r="BO12" s="202">
        <v>29.2</v>
      </c>
      <c r="BQ12" s="192">
        <v>34972</v>
      </c>
      <c r="BR12" s="193">
        <v>1489.8001074923791</v>
      </c>
      <c r="BS12" s="193">
        <v>105.03667956119943</v>
      </c>
    </row>
    <row r="13" spans="1:71" ht="14.25" customHeight="1">
      <c r="A13" s="21">
        <v>37529</v>
      </c>
      <c r="B13" s="194">
        <v>1123.4317194774856</v>
      </c>
      <c r="C13" s="194">
        <v>3006.8013662350841</v>
      </c>
      <c r="D13" s="194">
        <v>117.17331187461048</v>
      </c>
      <c r="E13" s="194">
        <v>427.24121002164725</v>
      </c>
      <c r="F13" s="194">
        <v>8.3928307500000017</v>
      </c>
      <c r="G13" s="194">
        <v>69.452674363458499</v>
      </c>
      <c r="H13" s="194">
        <v>84.133844457564692</v>
      </c>
      <c r="I13" s="194">
        <v>0</v>
      </c>
      <c r="J13" s="194">
        <v>-404.51623711215819</v>
      </c>
      <c r="K13" s="195">
        <v>171.64396060069762</v>
      </c>
      <c r="L13" s="194">
        <v>-1049.952547609412</v>
      </c>
      <c r="M13" s="194">
        <v>2724.6908228240482</v>
      </c>
      <c r="N13" s="194">
        <v>703.74630150042412</v>
      </c>
      <c r="O13" s="194">
        <v>193.2219296178047</v>
      </c>
      <c r="P13" s="194">
        <v>68.757262325119228</v>
      </c>
      <c r="Q13" s="194">
        <v>113.75900121289638</v>
      </c>
      <c r="R13" s="194">
        <v>-135.71633338535293</v>
      </c>
      <c r="S13" s="196">
        <f t="shared" si="0"/>
        <v>984.23129134143119</v>
      </c>
      <c r="T13" s="196">
        <f t="shared" si="1"/>
        <v>-114.6568510359607</v>
      </c>
      <c r="V13" s="203" t="s">
        <v>478</v>
      </c>
      <c r="W13" s="204">
        <f t="shared" ref="W13:X13" si="6">SUM(S93:S96)</f>
        <v>-1663.3150385656609</v>
      </c>
      <c r="X13" s="205">
        <f t="shared" si="6"/>
        <v>-1806.9553702299445</v>
      </c>
      <c r="AA13" s="200">
        <v>37529</v>
      </c>
      <c r="AB13" s="201">
        <v>2993.1</v>
      </c>
      <c r="AC13" s="202">
        <v>65.8</v>
      </c>
      <c r="AD13" s="202">
        <v>15.1</v>
      </c>
      <c r="AE13" s="202">
        <v>180.7</v>
      </c>
      <c r="AF13" s="202">
        <v>2389.3000000000002</v>
      </c>
      <c r="AG13" s="202">
        <v>103.3</v>
      </c>
      <c r="AH13" s="202">
        <v>4.2</v>
      </c>
      <c r="AI13" s="202">
        <v>28.8</v>
      </c>
      <c r="AJ13" s="202">
        <v>6.8</v>
      </c>
      <c r="AK13" s="202">
        <v>86.1</v>
      </c>
      <c r="AL13" s="202">
        <v>101.4</v>
      </c>
      <c r="AM13" s="202">
        <v>11.5</v>
      </c>
      <c r="AN13" s="202">
        <v>0</v>
      </c>
      <c r="AO13" s="201">
        <v>703</v>
      </c>
      <c r="AP13" s="202">
        <v>2.9</v>
      </c>
      <c r="AQ13" s="202">
        <v>4.9000000000000004</v>
      </c>
      <c r="AR13" s="202">
        <v>110.1</v>
      </c>
      <c r="AS13" s="202">
        <v>257.39999999999998</v>
      </c>
      <c r="AT13" s="202">
        <v>25.5</v>
      </c>
      <c r="AU13" s="202">
        <v>11</v>
      </c>
      <c r="AV13" s="202">
        <v>32.200000000000003</v>
      </c>
      <c r="AW13" s="202">
        <v>19.100000000000001</v>
      </c>
      <c r="AX13" s="202">
        <v>46.4</v>
      </c>
      <c r="AY13" s="202">
        <v>176.4</v>
      </c>
      <c r="AZ13" s="202">
        <v>8.4</v>
      </c>
      <c r="BA13" s="202">
        <v>8.8000000000000007</v>
      </c>
      <c r="BC13" s="200">
        <v>37529</v>
      </c>
      <c r="BD13" s="201">
        <v>117</v>
      </c>
      <c r="BE13" s="202">
        <v>46.3</v>
      </c>
      <c r="BF13" s="202">
        <v>70.7</v>
      </c>
      <c r="BG13" s="201">
        <v>196.5</v>
      </c>
      <c r="BH13" s="202">
        <v>5</v>
      </c>
      <c r="BI13" s="202">
        <v>191.4</v>
      </c>
      <c r="BK13" s="200">
        <v>37529</v>
      </c>
      <c r="BL13" s="201">
        <v>426.7</v>
      </c>
      <c r="BM13" s="202">
        <v>301.8</v>
      </c>
      <c r="BN13" s="201">
        <v>68.7</v>
      </c>
      <c r="BO13" s="202">
        <v>23.9</v>
      </c>
      <c r="BQ13" s="192">
        <v>35064</v>
      </c>
      <c r="BR13" s="193">
        <v>1478.9749302721589</v>
      </c>
      <c r="BS13" s="193">
        <v>-10.825177220220212</v>
      </c>
    </row>
    <row r="14" spans="1:71" ht="14.25" customHeight="1">
      <c r="A14" s="21">
        <v>37621</v>
      </c>
      <c r="B14" s="194">
        <v>1124.4453565239721</v>
      </c>
      <c r="C14" s="194">
        <v>1007.6544505272228</v>
      </c>
      <c r="D14" s="194">
        <v>124.54539660112559</v>
      </c>
      <c r="E14" s="194">
        <v>432.26854920284376</v>
      </c>
      <c r="F14" s="194">
        <v>16.615712858946502</v>
      </c>
      <c r="G14" s="194">
        <v>26.298414993158492</v>
      </c>
      <c r="H14" s="194">
        <v>368.22174125463181</v>
      </c>
      <c r="I14" s="194">
        <v>0</v>
      </c>
      <c r="J14" s="194">
        <v>-937.40502244654738</v>
      </c>
      <c r="K14" s="195">
        <v>16.062555319322897</v>
      </c>
      <c r="L14" s="194">
        <v>138.42833926009155</v>
      </c>
      <c r="M14" s="194">
        <v>2787.3866430793964</v>
      </c>
      <c r="N14" s="194">
        <v>640.98027148505741</v>
      </c>
      <c r="O14" s="194">
        <v>167.329993944324</v>
      </c>
      <c r="P14" s="194">
        <v>100.07868062234218</v>
      </c>
      <c r="Q14" s="194">
        <v>285.39254683737113</v>
      </c>
      <c r="R14" s="194">
        <v>39.60292644011232</v>
      </c>
      <c r="S14" s="196">
        <f t="shared" si="0"/>
        <v>-1006.8618362759562</v>
      </c>
      <c r="T14" s="196">
        <f t="shared" si="1"/>
        <v>-1703.6355683138354</v>
      </c>
      <c r="V14" s="203" t="s">
        <v>488</v>
      </c>
      <c r="W14" s="204">
        <f t="shared" ref="W14:X14" si="7">W13*7.6</f>
        <v>-12641.194293099023</v>
      </c>
      <c r="X14" s="205">
        <f t="shared" si="7"/>
        <v>-13732.860813747577</v>
      </c>
      <c r="AA14" s="200">
        <v>37621</v>
      </c>
      <c r="AB14" s="201">
        <v>1006.6</v>
      </c>
      <c r="AC14" s="202">
        <v>75.599999999999994</v>
      </c>
      <c r="AD14" s="202">
        <v>19.600000000000001</v>
      </c>
      <c r="AE14" s="202">
        <v>153.9</v>
      </c>
      <c r="AF14" s="202">
        <v>470</v>
      </c>
      <c r="AG14" s="202">
        <v>100.5</v>
      </c>
      <c r="AH14" s="202">
        <v>5.2</v>
      </c>
      <c r="AI14" s="202">
        <v>13.7</v>
      </c>
      <c r="AJ14" s="202">
        <v>6.6</v>
      </c>
      <c r="AK14" s="202">
        <v>43.9</v>
      </c>
      <c r="AL14" s="202">
        <v>112.7</v>
      </c>
      <c r="AM14" s="202">
        <v>4.4000000000000004</v>
      </c>
      <c r="AN14" s="202">
        <v>0.5</v>
      </c>
      <c r="AO14" s="201">
        <v>640.1</v>
      </c>
      <c r="AP14" s="202">
        <v>2.4</v>
      </c>
      <c r="AQ14" s="202">
        <v>4.8</v>
      </c>
      <c r="AR14" s="202">
        <v>94</v>
      </c>
      <c r="AS14" s="202">
        <v>180.5</v>
      </c>
      <c r="AT14" s="202">
        <v>22.6</v>
      </c>
      <c r="AU14" s="202">
        <v>10.199999999999999</v>
      </c>
      <c r="AV14" s="202">
        <v>38.1</v>
      </c>
      <c r="AW14" s="202">
        <v>23.5</v>
      </c>
      <c r="AX14" s="202">
        <v>39.5</v>
      </c>
      <c r="AY14" s="202">
        <v>202.9</v>
      </c>
      <c r="AZ14" s="202">
        <v>7.8</v>
      </c>
      <c r="BA14" s="202">
        <v>14</v>
      </c>
      <c r="BC14" s="200">
        <v>37621</v>
      </c>
      <c r="BD14" s="201">
        <v>124.4</v>
      </c>
      <c r="BE14" s="202">
        <v>50.2</v>
      </c>
      <c r="BF14" s="202">
        <v>74.099999999999994</v>
      </c>
      <c r="BG14" s="201">
        <v>170.8</v>
      </c>
      <c r="BH14" s="202">
        <v>5.9</v>
      </c>
      <c r="BI14" s="202">
        <v>164.9</v>
      </c>
      <c r="BK14" s="200">
        <v>37621</v>
      </c>
      <c r="BL14" s="201">
        <v>431.9</v>
      </c>
      <c r="BM14" s="202">
        <v>307</v>
      </c>
      <c r="BN14" s="201">
        <v>99.9</v>
      </c>
      <c r="BO14" s="202">
        <v>33</v>
      </c>
      <c r="BQ14" s="192">
        <v>35155</v>
      </c>
      <c r="BR14" s="193">
        <v>1506.3507463937717</v>
      </c>
      <c r="BS14" s="193">
        <v>27.375816121612843</v>
      </c>
    </row>
    <row r="15" spans="1:71" ht="14.25" customHeight="1">
      <c r="A15" s="21">
        <v>37711</v>
      </c>
      <c r="B15" s="194">
        <v>1149.6341946997859</v>
      </c>
      <c r="C15" s="194">
        <v>700.16719271546151</v>
      </c>
      <c r="D15" s="194">
        <v>125.79616918736967</v>
      </c>
      <c r="E15" s="194">
        <v>421.4641704144334</v>
      </c>
      <c r="F15" s="194">
        <v>6.9146969410000008</v>
      </c>
      <c r="G15" s="194">
        <v>37.675841165522982</v>
      </c>
      <c r="H15" s="194">
        <v>-75.812955075102238</v>
      </c>
      <c r="I15" s="194">
        <v>0</v>
      </c>
      <c r="J15" s="194">
        <v>-494.58754211905614</v>
      </c>
      <c r="K15" s="195">
        <v>180.9220558573673</v>
      </c>
      <c r="L15" s="194">
        <v>-165.3182158528349</v>
      </c>
      <c r="M15" s="194">
        <v>2535.1111360018394</v>
      </c>
      <c r="N15" s="194">
        <v>558.54477390671764</v>
      </c>
      <c r="O15" s="194">
        <v>179.18305167369445</v>
      </c>
      <c r="P15" s="194">
        <v>71.698239225958815</v>
      </c>
      <c r="Q15" s="194">
        <v>236.79077716445937</v>
      </c>
      <c r="R15" s="194">
        <v>517.28561536726693</v>
      </c>
      <c r="S15" s="196">
        <f t="shared" si="0"/>
        <v>-947.47547379115986</v>
      </c>
      <c r="T15" s="196">
        <f t="shared" si="1"/>
        <v>-2211.7579854059891</v>
      </c>
      <c r="V15" s="225" t="s">
        <v>276</v>
      </c>
      <c r="W15" s="226">
        <f>W14/SUM(bdp!$AX$109:$AX$112)</f>
        <v>-3.828460395534436E-2</v>
      </c>
      <c r="X15" s="228">
        <f>X14/SUM(bdp!$AX$109:$AX$112)</f>
        <v>-4.1590780525793444E-2</v>
      </c>
      <c r="AA15" s="200">
        <v>37711</v>
      </c>
      <c r="AB15" s="201">
        <v>698.8</v>
      </c>
      <c r="AC15" s="202">
        <v>60.8</v>
      </c>
      <c r="AD15" s="202">
        <v>12</v>
      </c>
      <c r="AE15" s="202">
        <v>143.30000000000001</v>
      </c>
      <c r="AF15" s="202">
        <v>221.7</v>
      </c>
      <c r="AG15" s="202">
        <v>79.5</v>
      </c>
      <c r="AH15" s="202">
        <v>3.3</v>
      </c>
      <c r="AI15" s="202">
        <v>6.6</v>
      </c>
      <c r="AJ15" s="202">
        <v>7.9</v>
      </c>
      <c r="AK15" s="202">
        <v>48.6</v>
      </c>
      <c r="AL15" s="202">
        <v>111.1</v>
      </c>
      <c r="AM15" s="202">
        <v>4.0999999999999996</v>
      </c>
      <c r="AN15" s="202">
        <v>0.1</v>
      </c>
      <c r="AO15" s="201">
        <v>557.5</v>
      </c>
      <c r="AP15" s="202">
        <v>18.3</v>
      </c>
      <c r="AQ15" s="202">
        <v>6.7</v>
      </c>
      <c r="AR15" s="202">
        <v>82.4</v>
      </c>
      <c r="AS15" s="202">
        <v>118.3</v>
      </c>
      <c r="AT15" s="202">
        <v>16.600000000000001</v>
      </c>
      <c r="AU15" s="202">
        <v>9.1999999999999993</v>
      </c>
      <c r="AV15" s="202">
        <v>34.299999999999997</v>
      </c>
      <c r="AW15" s="202">
        <v>22.5</v>
      </c>
      <c r="AX15" s="202">
        <v>45.7</v>
      </c>
      <c r="AY15" s="202">
        <v>185.9</v>
      </c>
      <c r="AZ15" s="202">
        <v>8.9</v>
      </c>
      <c r="BA15" s="202">
        <v>8.6999999999999993</v>
      </c>
      <c r="BC15" s="200">
        <v>37711</v>
      </c>
      <c r="BD15" s="201">
        <v>125.8</v>
      </c>
      <c r="BE15" s="202">
        <v>48.8</v>
      </c>
      <c r="BF15" s="202">
        <v>77</v>
      </c>
      <c r="BG15" s="201">
        <v>183</v>
      </c>
      <c r="BH15" s="202">
        <v>4.5999999999999996</v>
      </c>
      <c r="BI15" s="202">
        <v>178.4</v>
      </c>
      <c r="BK15" s="200">
        <v>37711</v>
      </c>
      <c r="BL15" s="201">
        <v>420.5</v>
      </c>
      <c r="BM15" s="202">
        <v>280.8</v>
      </c>
      <c r="BN15" s="201">
        <v>71.599999999999994</v>
      </c>
      <c r="BO15" s="202">
        <v>25.7</v>
      </c>
      <c r="BQ15" s="192">
        <v>35246</v>
      </c>
      <c r="BR15" s="193">
        <v>1622.0765013287846</v>
      </c>
      <c r="BS15" s="193">
        <v>115.7257549350129</v>
      </c>
    </row>
    <row r="16" spans="1:71" ht="14.25" customHeight="1">
      <c r="A16" s="21">
        <v>37802</v>
      </c>
      <c r="B16" s="194">
        <v>1013.9545701416926</v>
      </c>
      <c r="C16" s="194">
        <v>1605.3783732879308</v>
      </c>
      <c r="D16" s="194">
        <v>109.7316319021341</v>
      </c>
      <c r="E16" s="194">
        <v>456.67642488459336</v>
      </c>
      <c r="F16" s="194">
        <v>53.614046855371676</v>
      </c>
      <c r="G16" s="194">
        <v>33.700822789722977</v>
      </c>
      <c r="H16" s="194">
        <v>-62.02498799415644</v>
      </c>
      <c r="I16" s="194">
        <v>0</v>
      </c>
      <c r="J16" s="194">
        <v>-674.6149465880269</v>
      </c>
      <c r="K16" s="195">
        <v>253.85490877435984</v>
      </c>
      <c r="L16" s="194">
        <v>15.56504080689956</v>
      </c>
      <c r="M16" s="194">
        <v>2935.4394389214276</v>
      </c>
      <c r="N16" s="194">
        <v>681.31207902927815</v>
      </c>
      <c r="O16" s="194">
        <v>857.52314343736464</v>
      </c>
      <c r="P16" s="194">
        <v>79.920107583308408</v>
      </c>
      <c r="Q16" s="194">
        <v>580.79214744935916</v>
      </c>
      <c r="R16" s="194">
        <v>269.39833062529704</v>
      </c>
      <c r="S16" s="196">
        <f t="shared" si="0"/>
        <v>-1368.4537687550278</v>
      </c>
      <c r="T16" s="196">
        <f t="shared" si="1"/>
        <v>-2598.5493621855126</v>
      </c>
      <c r="AA16" s="200">
        <v>37802</v>
      </c>
      <c r="AB16" s="201">
        <v>1606.4</v>
      </c>
      <c r="AC16" s="202">
        <v>84</v>
      </c>
      <c r="AD16" s="202">
        <v>13.5</v>
      </c>
      <c r="AE16" s="202">
        <v>183.7</v>
      </c>
      <c r="AF16" s="202">
        <v>1012.3</v>
      </c>
      <c r="AG16" s="202">
        <v>84.9</v>
      </c>
      <c r="AH16" s="202">
        <v>5.3</v>
      </c>
      <c r="AI16" s="202">
        <v>19.100000000000001</v>
      </c>
      <c r="AJ16" s="202">
        <v>9</v>
      </c>
      <c r="AK16" s="202">
        <v>74.599999999999994</v>
      </c>
      <c r="AL16" s="202">
        <v>114</v>
      </c>
      <c r="AM16" s="202">
        <v>6.1</v>
      </c>
      <c r="AN16" s="202">
        <v>0.1</v>
      </c>
      <c r="AO16" s="201">
        <v>681.9</v>
      </c>
      <c r="AP16" s="202">
        <v>36.700000000000003</v>
      </c>
      <c r="AQ16" s="202">
        <v>6.1</v>
      </c>
      <c r="AR16" s="202">
        <v>102.9</v>
      </c>
      <c r="AS16" s="202">
        <v>132.4</v>
      </c>
      <c r="AT16" s="202">
        <v>35</v>
      </c>
      <c r="AU16" s="202">
        <v>12.7</v>
      </c>
      <c r="AV16" s="202">
        <v>85.3</v>
      </c>
      <c r="AW16" s="202">
        <v>23.6</v>
      </c>
      <c r="AX16" s="202">
        <v>30.6</v>
      </c>
      <c r="AY16" s="202">
        <v>198.2</v>
      </c>
      <c r="AZ16" s="202">
        <v>10.199999999999999</v>
      </c>
      <c r="BA16" s="202">
        <v>8.1</v>
      </c>
      <c r="BC16" s="200">
        <v>37802</v>
      </c>
      <c r="BD16" s="201">
        <v>109.8</v>
      </c>
      <c r="BE16" s="202">
        <v>49.5</v>
      </c>
      <c r="BF16" s="202">
        <v>60.4</v>
      </c>
      <c r="BG16" s="201">
        <v>862</v>
      </c>
      <c r="BH16" s="202">
        <v>11.7</v>
      </c>
      <c r="BI16" s="202">
        <v>850.3</v>
      </c>
      <c r="BK16" s="200">
        <v>37802</v>
      </c>
      <c r="BL16" s="201">
        <v>456.9</v>
      </c>
      <c r="BM16" s="202">
        <v>298.10000000000002</v>
      </c>
      <c r="BN16" s="201">
        <v>80</v>
      </c>
      <c r="BO16" s="202">
        <v>26</v>
      </c>
      <c r="BQ16" s="192">
        <v>35338</v>
      </c>
      <c r="BR16" s="193">
        <v>1832.8790900506356</v>
      </c>
      <c r="BS16" s="193">
        <v>210.80258872185095</v>
      </c>
    </row>
    <row r="17" spans="1:71" ht="14.25" customHeight="1">
      <c r="A17" s="21">
        <v>37894</v>
      </c>
      <c r="B17" s="194">
        <v>1055.7400109798782</v>
      </c>
      <c r="C17" s="194">
        <v>3357.0828159517428</v>
      </c>
      <c r="D17" s="194">
        <v>119.47526960574345</v>
      </c>
      <c r="E17" s="194">
        <v>436.47239310956041</v>
      </c>
      <c r="F17" s="194">
        <v>5.1919147330000008</v>
      </c>
      <c r="G17" s="194">
        <v>20.645615224822883</v>
      </c>
      <c r="H17" s="194">
        <v>137.98161860039176</v>
      </c>
      <c r="I17" s="194">
        <v>0</v>
      </c>
      <c r="J17" s="194">
        <v>-304.48364922593805</v>
      </c>
      <c r="K17" s="195">
        <v>250.0520499279103</v>
      </c>
      <c r="L17" s="194">
        <v>-862.7760842020416</v>
      </c>
      <c r="M17" s="194">
        <v>2950.7785301440758</v>
      </c>
      <c r="N17" s="194">
        <v>787.96376349223408</v>
      </c>
      <c r="O17" s="194">
        <v>233.18070577198009</v>
      </c>
      <c r="P17" s="194">
        <v>86.588280886553378</v>
      </c>
      <c r="Q17" s="194">
        <v>126.62814573696073</v>
      </c>
      <c r="R17" s="194">
        <v>-75.107551092813623</v>
      </c>
      <c r="S17" s="196">
        <f t="shared" si="0"/>
        <v>910.25920935208023</v>
      </c>
      <c r="T17" s="196">
        <f t="shared" si="1"/>
        <v>105.35007976607812</v>
      </c>
      <c r="AA17" s="200">
        <v>37894</v>
      </c>
      <c r="AB17" s="201">
        <v>3355.7</v>
      </c>
      <c r="AC17" s="202">
        <v>58.7</v>
      </c>
      <c r="AD17" s="202">
        <v>15.4</v>
      </c>
      <c r="AE17" s="202">
        <v>203.6</v>
      </c>
      <c r="AF17" s="202">
        <v>2731.6</v>
      </c>
      <c r="AG17" s="202">
        <v>121.3</v>
      </c>
      <c r="AH17" s="202">
        <v>3.3</v>
      </c>
      <c r="AI17" s="202">
        <v>9.1</v>
      </c>
      <c r="AJ17" s="202">
        <v>6.7</v>
      </c>
      <c r="AK17" s="202">
        <v>69.3</v>
      </c>
      <c r="AL17" s="202">
        <v>123.3</v>
      </c>
      <c r="AM17" s="202">
        <v>13.3</v>
      </c>
      <c r="AN17" s="202">
        <v>0</v>
      </c>
      <c r="AO17" s="201">
        <v>787.4</v>
      </c>
      <c r="AP17" s="202">
        <v>41.2</v>
      </c>
      <c r="AQ17" s="202">
        <v>8</v>
      </c>
      <c r="AR17" s="202">
        <v>102.4</v>
      </c>
      <c r="AS17" s="202">
        <v>197.3</v>
      </c>
      <c r="AT17" s="202">
        <v>108.8</v>
      </c>
      <c r="AU17" s="202">
        <v>9.6</v>
      </c>
      <c r="AV17" s="202">
        <v>34.9</v>
      </c>
      <c r="AW17" s="202">
        <v>25</v>
      </c>
      <c r="AX17" s="202">
        <v>42.8</v>
      </c>
      <c r="AY17" s="202">
        <v>202.7</v>
      </c>
      <c r="AZ17" s="202">
        <v>9.3000000000000007</v>
      </c>
      <c r="BA17" s="202">
        <v>5.6</v>
      </c>
      <c r="BC17" s="200">
        <v>37894</v>
      </c>
      <c r="BD17" s="201">
        <v>119.3</v>
      </c>
      <c r="BE17" s="202">
        <v>57.3</v>
      </c>
      <c r="BF17" s="202">
        <v>62.2</v>
      </c>
      <c r="BG17" s="201">
        <v>237.5</v>
      </c>
      <c r="BH17" s="202">
        <v>6.7</v>
      </c>
      <c r="BI17" s="202">
        <v>230.8</v>
      </c>
      <c r="BK17" s="200">
        <v>37894</v>
      </c>
      <c r="BL17" s="201">
        <v>436.1</v>
      </c>
      <c r="BM17" s="202">
        <v>297.10000000000002</v>
      </c>
      <c r="BN17" s="201">
        <v>86.6</v>
      </c>
      <c r="BO17" s="202">
        <v>30</v>
      </c>
      <c r="BQ17" s="192">
        <v>35430</v>
      </c>
      <c r="BR17" s="193">
        <v>1867.6569438632623</v>
      </c>
      <c r="BS17" s="193">
        <v>34.777853812626745</v>
      </c>
    </row>
    <row r="18" spans="1:71" ht="14.25" customHeight="1">
      <c r="A18" s="21">
        <v>37986</v>
      </c>
      <c r="B18" s="194">
        <v>1115.6502694858398</v>
      </c>
      <c r="C18" s="194">
        <v>1055.0740714152587</v>
      </c>
      <c r="D18" s="194">
        <v>111.81626370308037</v>
      </c>
      <c r="E18" s="194">
        <v>438.22732786069434</v>
      </c>
      <c r="F18" s="194">
        <v>35.956416559080218</v>
      </c>
      <c r="G18" s="194">
        <v>40.172706866322855</v>
      </c>
      <c r="H18" s="194">
        <v>-121.32258692777683</v>
      </c>
      <c r="I18" s="194">
        <v>0</v>
      </c>
      <c r="J18" s="194">
        <v>-420.14622566530841</v>
      </c>
      <c r="K18" s="195">
        <v>550.64200951128601</v>
      </c>
      <c r="L18" s="194">
        <v>691.59975536651996</v>
      </c>
      <c r="M18" s="194">
        <v>3018.468343848479</v>
      </c>
      <c r="N18" s="194">
        <v>778.65099752474077</v>
      </c>
      <c r="O18" s="194">
        <v>207.11207432796482</v>
      </c>
      <c r="P18" s="194">
        <v>96.652796241087913</v>
      </c>
      <c r="Q18" s="194">
        <v>667.31952553285714</v>
      </c>
      <c r="R18" s="194">
        <v>34.586485803465813</v>
      </c>
      <c r="S18" s="196">
        <f t="shared" si="0"/>
        <v>-1380.1162794773991</v>
      </c>
      <c r="T18" s="196">
        <f t="shared" si="1"/>
        <v>-1305.1202151035986</v>
      </c>
      <c r="AA18" s="200">
        <v>37986</v>
      </c>
      <c r="AB18" s="201">
        <v>1053.7</v>
      </c>
      <c r="AC18" s="202">
        <v>89.6</v>
      </c>
      <c r="AD18" s="202">
        <v>17.600000000000001</v>
      </c>
      <c r="AE18" s="202">
        <v>167.6</v>
      </c>
      <c r="AF18" s="202">
        <v>457.5</v>
      </c>
      <c r="AG18" s="202">
        <v>105.6</v>
      </c>
      <c r="AH18" s="202">
        <v>5.4</v>
      </c>
      <c r="AI18" s="202">
        <v>6.4</v>
      </c>
      <c r="AJ18" s="202">
        <v>7.2</v>
      </c>
      <c r="AK18" s="202">
        <v>49</v>
      </c>
      <c r="AL18" s="202">
        <v>141.69999999999999</v>
      </c>
      <c r="AM18" s="202">
        <v>5.8</v>
      </c>
      <c r="AN18" s="202">
        <v>0</v>
      </c>
      <c r="AO18" s="201">
        <v>778.1</v>
      </c>
      <c r="AP18" s="202">
        <v>43.6</v>
      </c>
      <c r="AQ18" s="202">
        <v>9.3000000000000007</v>
      </c>
      <c r="AR18" s="202">
        <v>102</v>
      </c>
      <c r="AS18" s="202">
        <v>147.69999999999999</v>
      </c>
      <c r="AT18" s="202">
        <v>83.5</v>
      </c>
      <c r="AU18" s="202">
        <v>8.3000000000000007</v>
      </c>
      <c r="AV18" s="202">
        <v>32</v>
      </c>
      <c r="AW18" s="202">
        <v>43.4</v>
      </c>
      <c r="AX18" s="202">
        <v>41.4</v>
      </c>
      <c r="AY18" s="202">
        <v>252.5</v>
      </c>
      <c r="AZ18" s="202">
        <v>8.3000000000000007</v>
      </c>
      <c r="BA18" s="202">
        <v>6</v>
      </c>
      <c r="BC18" s="200">
        <v>37986</v>
      </c>
      <c r="BD18" s="201">
        <v>111.8</v>
      </c>
      <c r="BE18" s="202">
        <v>61.7</v>
      </c>
      <c r="BF18" s="202">
        <v>50.1</v>
      </c>
      <c r="BG18" s="201">
        <v>211.4</v>
      </c>
      <c r="BH18" s="202">
        <v>10.5</v>
      </c>
      <c r="BI18" s="202">
        <v>200.9</v>
      </c>
      <c r="BK18" s="200">
        <v>37986</v>
      </c>
      <c r="BL18" s="201">
        <v>438</v>
      </c>
      <c r="BM18" s="202">
        <v>290.89999999999998</v>
      </c>
      <c r="BN18" s="201">
        <v>96.6</v>
      </c>
      <c r="BO18" s="202">
        <v>24.2</v>
      </c>
      <c r="BQ18" s="192">
        <v>35520</v>
      </c>
      <c r="BR18" s="193">
        <v>1942.4679341796032</v>
      </c>
      <c r="BS18" s="193">
        <v>74.810990316340849</v>
      </c>
    </row>
    <row r="19" spans="1:71" ht="14.25" customHeight="1">
      <c r="A19" s="21">
        <v>38077</v>
      </c>
      <c r="B19" s="194">
        <v>1218.0490736626571</v>
      </c>
      <c r="C19" s="194">
        <v>748.39793786607515</v>
      </c>
      <c r="D19" s="194">
        <v>144.99806817615331</v>
      </c>
      <c r="E19" s="194">
        <v>425.27584975386924</v>
      </c>
      <c r="F19" s="194">
        <v>7.5123568919999997</v>
      </c>
      <c r="G19" s="194">
        <v>58.194009829571925</v>
      </c>
      <c r="H19" s="194">
        <v>396.44399420644851</v>
      </c>
      <c r="I19" s="194">
        <v>0</v>
      </c>
      <c r="J19" s="194">
        <v>-582.49312650592685</v>
      </c>
      <c r="K19" s="195">
        <v>-421.65638582364983</v>
      </c>
      <c r="L19" s="194">
        <v>85.600457990987024</v>
      </c>
      <c r="M19" s="194">
        <v>2698.140388697198</v>
      </c>
      <c r="N19" s="194">
        <v>664.82243723406191</v>
      </c>
      <c r="O19" s="194">
        <v>251.06334401605278</v>
      </c>
      <c r="P19" s="194">
        <v>106.70532397480842</v>
      </c>
      <c r="Q19" s="194">
        <v>291.49043719189353</v>
      </c>
      <c r="R19" s="194">
        <v>249.89580409492939</v>
      </c>
      <c r="S19" s="196">
        <f t="shared" si="0"/>
        <v>-1184.0105644633659</v>
      </c>
      <c r="T19" s="196">
        <f t="shared" si="1"/>
        <v>-2181.7954991607576</v>
      </c>
      <c r="AA19" s="200">
        <v>38077</v>
      </c>
      <c r="AB19" s="201">
        <v>748.8</v>
      </c>
      <c r="AC19" s="202">
        <v>72.099999999999994</v>
      </c>
      <c r="AD19" s="202">
        <v>12.8</v>
      </c>
      <c r="AE19" s="202">
        <v>160.5</v>
      </c>
      <c r="AF19" s="202">
        <v>241.1</v>
      </c>
      <c r="AG19" s="202">
        <v>83.8</v>
      </c>
      <c r="AH19" s="202">
        <v>3</v>
      </c>
      <c r="AI19" s="202">
        <v>-1.2</v>
      </c>
      <c r="AJ19" s="202">
        <v>8.9</v>
      </c>
      <c r="AK19" s="202">
        <v>28.4</v>
      </c>
      <c r="AL19" s="202">
        <v>134</v>
      </c>
      <c r="AM19" s="202">
        <v>5.3</v>
      </c>
      <c r="AN19" s="202">
        <v>0.1</v>
      </c>
      <c r="AO19" s="201">
        <v>665.5</v>
      </c>
      <c r="AP19" s="202">
        <v>18.3</v>
      </c>
      <c r="AQ19" s="202">
        <v>7.4</v>
      </c>
      <c r="AR19" s="202">
        <v>87.3</v>
      </c>
      <c r="AS19" s="202">
        <v>162.6</v>
      </c>
      <c r="AT19" s="202">
        <v>71.3</v>
      </c>
      <c r="AU19" s="202">
        <v>6.6</v>
      </c>
      <c r="AV19" s="202">
        <v>30.4</v>
      </c>
      <c r="AW19" s="202">
        <v>30.5</v>
      </c>
      <c r="AX19" s="202">
        <v>43.1</v>
      </c>
      <c r="AY19" s="202">
        <v>189.7</v>
      </c>
      <c r="AZ19" s="202">
        <v>8.6999999999999993</v>
      </c>
      <c r="BA19" s="202">
        <v>9.5</v>
      </c>
      <c r="BC19" s="200">
        <v>38077</v>
      </c>
      <c r="BD19" s="201">
        <v>145</v>
      </c>
      <c r="BE19" s="202">
        <v>62.7</v>
      </c>
      <c r="BF19" s="202">
        <v>82.4</v>
      </c>
      <c r="BG19" s="201">
        <v>255.2</v>
      </c>
      <c r="BH19" s="202">
        <v>7.8</v>
      </c>
      <c r="BI19" s="202">
        <v>247.5</v>
      </c>
      <c r="BK19" s="200">
        <v>38077</v>
      </c>
      <c r="BL19" s="201">
        <v>425.6</v>
      </c>
      <c r="BM19" s="202">
        <v>284.5</v>
      </c>
      <c r="BN19" s="201">
        <v>106.8</v>
      </c>
      <c r="BO19" s="202">
        <v>23</v>
      </c>
      <c r="BQ19" s="192">
        <v>35611</v>
      </c>
      <c r="BR19" s="193">
        <v>2050.3831969892708</v>
      </c>
      <c r="BS19" s="193">
        <v>107.91526280966764</v>
      </c>
    </row>
    <row r="20" spans="1:71" ht="14.25" customHeight="1">
      <c r="A20" s="21">
        <v>38168</v>
      </c>
      <c r="B20" s="194">
        <v>1296.8394603935831</v>
      </c>
      <c r="C20" s="194">
        <v>1650.799652358711</v>
      </c>
      <c r="D20" s="194">
        <v>159.18565637790186</v>
      </c>
      <c r="E20" s="194">
        <v>465.14241768848166</v>
      </c>
      <c r="F20" s="194">
        <v>7.6995576130000014</v>
      </c>
      <c r="G20" s="194">
        <v>39.398171596671951</v>
      </c>
      <c r="H20" s="194">
        <v>192.79099651810847</v>
      </c>
      <c r="I20" s="194">
        <v>0</v>
      </c>
      <c r="J20" s="194">
        <v>-476.63890161381551</v>
      </c>
      <c r="K20" s="195">
        <v>202.70718659998701</v>
      </c>
      <c r="L20" s="194">
        <v>2.3232720984530033</v>
      </c>
      <c r="M20" s="194">
        <v>3286.0500088293256</v>
      </c>
      <c r="N20" s="194">
        <v>691.49777034212912</v>
      </c>
      <c r="O20" s="194">
        <v>434.99165031998189</v>
      </c>
      <c r="P20" s="194">
        <v>106.2026540490583</v>
      </c>
      <c r="Q20" s="194">
        <v>251.66992935470211</v>
      </c>
      <c r="R20" s="194">
        <v>643.33959075661426</v>
      </c>
      <c r="S20" s="196">
        <f t="shared" si="0"/>
        <v>-946.77489672181719</v>
      </c>
      <c r="T20" s="196">
        <f t="shared" si="1"/>
        <v>-1873.504134020729</v>
      </c>
      <c r="AA20" s="200">
        <v>38168</v>
      </c>
      <c r="AB20" s="201">
        <v>1648.1</v>
      </c>
      <c r="AC20" s="202">
        <v>82.9</v>
      </c>
      <c r="AD20" s="202">
        <v>14.7</v>
      </c>
      <c r="AE20" s="202">
        <v>202.6</v>
      </c>
      <c r="AF20" s="202">
        <v>1035.8</v>
      </c>
      <c r="AG20" s="202">
        <v>106.3</v>
      </c>
      <c r="AH20" s="202">
        <v>3.6</v>
      </c>
      <c r="AI20" s="202">
        <v>2.4</v>
      </c>
      <c r="AJ20" s="202">
        <v>8.1</v>
      </c>
      <c r="AK20" s="202">
        <v>44.5</v>
      </c>
      <c r="AL20" s="202">
        <v>143.4</v>
      </c>
      <c r="AM20" s="202">
        <v>4</v>
      </c>
      <c r="AN20" s="202">
        <v>0.1</v>
      </c>
      <c r="AO20" s="201">
        <v>691.7</v>
      </c>
      <c r="AP20" s="202">
        <v>31.1</v>
      </c>
      <c r="AQ20" s="202">
        <v>10.5</v>
      </c>
      <c r="AR20" s="202">
        <v>116.4</v>
      </c>
      <c r="AS20" s="202">
        <v>164.6</v>
      </c>
      <c r="AT20" s="202">
        <v>48.4</v>
      </c>
      <c r="AU20" s="202">
        <v>9.3000000000000007</v>
      </c>
      <c r="AV20" s="202">
        <v>31.1</v>
      </c>
      <c r="AW20" s="202">
        <v>22.6</v>
      </c>
      <c r="AX20" s="202">
        <v>40.9</v>
      </c>
      <c r="AY20" s="202">
        <v>200</v>
      </c>
      <c r="AZ20" s="202">
        <v>8.9</v>
      </c>
      <c r="BA20" s="202">
        <v>7.8</v>
      </c>
      <c r="BC20" s="200">
        <v>38168</v>
      </c>
      <c r="BD20" s="201">
        <v>159.4</v>
      </c>
      <c r="BE20" s="202">
        <v>70.599999999999994</v>
      </c>
      <c r="BF20" s="202">
        <v>88.8</v>
      </c>
      <c r="BG20" s="201">
        <v>440.5</v>
      </c>
      <c r="BH20" s="202">
        <v>8.3000000000000007</v>
      </c>
      <c r="BI20" s="202">
        <v>432.2</v>
      </c>
      <c r="BK20" s="200">
        <v>38168</v>
      </c>
      <c r="BL20" s="201">
        <v>465.3</v>
      </c>
      <c r="BM20" s="202">
        <v>309.39999999999998</v>
      </c>
      <c r="BN20" s="201">
        <v>106.3</v>
      </c>
      <c r="BO20" s="202">
        <v>25.3</v>
      </c>
      <c r="BQ20" s="192">
        <v>35703</v>
      </c>
      <c r="BR20" s="193">
        <v>2234.899249568869</v>
      </c>
      <c r="BS20" s="193">
        <v>184.51605257959818</v>
      </c>
    </row>
    <row r="21" spans="1:71" ht="14.25" customHeight="1">
      <c r="A21" s="21">
        <v>38260</v>
      </c>
      <c r="B21" s="194">
        <v>1394.355814352414</v>
      </c>
      <c r="C21" s="194">
        <v>3586.8160635574313</v>
      </c>
      <c r="D21" s="194">
        <v>284.64127087472013</v>
      </c>
      <c r="E21" s="194">
        <v>450.18956047827544</v>
      </c>
      <c r="F21" s="194">
        <v>7.243317735999999</v>
      </c>
      <c r="G21" s="194">
        <v>181.42268383497171</v>
      </c>
      <c r="H21" s="194">
        <v>-33.1296196612535</v>
      </c>
      <c r="I21" s="194">
        <v>0</v>
      </c>
      <c r="J21" s="194">
        <v>443.94084323115987</v>
      </c>
      <c r="K21" s="195">
        <v>88.615892122134042</v>
      </c>
      <c r="L21" s="194">
        <v>-1160.8442122392619</v>
      </c>
      <c r="M21" s="194">
        <v>3065.1162330420666</v>
      </c>
      <c r="N21" s="194">
        <v>900.37629426010142</v>
      </c>
      <c r="O21" s="194">
        <v>398.31417539706723</v>
      </c>
      <c r="P21" s="194">
        <v>101.03779234570632</v>
      </c>
      <c r="Q21" s="194">
        <v>328.31005039299009</v>
      </c>
      <c r="R21" s="194">
        <v>254.98242941938497</v>
      </c>
      <c r="S21" s="196">
        <f t="shared" si="0"/>
        <v>1251.1582142178995</v>
      </c>
      <c r="T21" s="196">
        <f t="shared" si="1"/>
        <v>195.11463942927458</v>
      </c>
      <c r="AA21" s="200">
        <v>38260</v>
      </c>
      <c r="AB21" s="201">
        <v>3579</v>
      </c>
      <c r="AC21" s="202">
        <v>82.2</v>
      </c>
      <c r="AD21" s="202">
        <v>19.899999999999999</v>
      </c>
      <c r="AE21" s="202">
        <v>227</v>
      </c>
      <c r="AF21" s="202">
        <v>2867.9</v>
      </c>
      <c r="AG21" s="202">
        <v>119</v>
      </c>
      <c r="AH21" s="202">
        <v>3.9</v>
      </c>
      <c r="AI21" s="202">
        <v>5.0999999999999996</v>
      </c>
      <c r="AJ21" s="202">
        <v>8.1</v>
      </c>
      <c r="AK21" s="202">
        <v>95.5</v>
      </c>
      <c r="AL21" s="202">
        <v>142.69999999999999</v>
      </c>
      <c r="AM21" s="202">
        <v>7.6</v>
      </c>
      <c r="AN21" s="202">
        <v>0.1</v>
      </c>
      <c r="AO21" s="201">
        <v>899.1</v>
      </c>
      <c r="AP21" s="202">
        <v>33.700000000000003</v>
      </c>
      <c r="AQ21" s="202">
        <v>6.9</v>
      </c>
      <c r="AR21" s="202">
        <v>123.1</v>
      </c>
      <c r="AS21" s="202">
        <v>205</v>
      </c>
      <c r="AT21" s="202">
        <v>108.3</v>
      </c>
      <c r="AU21" s="202">
        <v>7.7</v>
      </c>
      <c r="AV21" s="202">
        <v>35.200000000000003</v>
      </c>
      <c r="AW21" s="202">
        <v>26.2</v>
      </c>
      <c r="AX21" s="202">
        <v>51.5</v>
      </c>
      <c r="AY21" s="202">
        <v>283</v>
      </c>
      <c r="AZ21" s="202">
        <v>9.6999999999999993</v>
      </c>
      <c r="BA21" s="202">
        <v>8.6999999999999993</v>
      </c>
      <c r="BC21" s="200">
        <v>38260</v>
      </c>
      <c r="BD21" s="201">
        <v>284.10000000000002</v>
      </c>
      <c r="BE21" s="202">
        <v>67.3</v>
      </c>
      <c r="BF21" s="202">
        <v>216.6</v>
      </c>
      <c r="BG21" s="201">
        <v>401.6</v>
      </c>
      <c r="BH21" s="202">
        <v>11.5</v>
      </c>
      <c r="BI21" s="202">
        <v>390.1</v>
      </c>
      <c r="BK21" s="200">
        <v>38260</v>
      </c>
      <c r="BL21" s="201">
        <v>449.6</v>
      </c>
      <c r="BM21" s="202">
        <v>304.5</v>
      </c>
      <c r="BN21" s="201">
        <v>100.9</v>
      </c>
      <c r="BO21" s="202">
        <v>23.9</v>
      </c>
      <c r="BQ21" s="192">
        <v>35795</v>
      </c>
      <c r="BR21" s="193">
        <v>2303.6930190865301</v>
      </c>
      <c r="BS21" s="193">
        <v>68.793769517661076</v>
      </c>
    </row>
    <row r="22" spans="1:71" ht="14.25" customHeight="1">
      <c r="A22" s="21">
        <v>38352</v>
      </c>
      <c r="B22" s="194">
        <v>1421.1670907779253</v>
      </c>
      <c r="C22" s="194">
        <v>1092.9727371955369</v>
      </c>
      <c r="D22" s="194">
        <v>147.45414959550232</v>
      </c>
      <c r="E22" s="194">
        <v>487.63348588265086</v>
      </c>
      <c r="F22" s="194">
        <v>8.9449685489999986</v>
      </c>
      <c r="G22" s="194">
        <v>66.091038915571829</v>
      </c>
      <c r="H22" s="194">
        <v>200.55801024213645</v>
      </c>
      <c r="I22" s="194">
        <v>0</v>
      </c>
      <c r="J22" s="194">
        <v>-988.08573780806682</v>
      </c>
      <c r="K22" s="195">
        <v>173.36713417672451</v>
      </c>
      <c r="L22" s="194">
        <v>431.2016061670812</v>
      </c>
      <c r="M22" s="194">
        <v>3186.5061937639234</v>
      </c>
      <c r="N22" s="194">
        <v>758.48941655238878</v>
      </c>
      <c r="O22" s="194">
        <v>223.90964320312793</v>
      </c>
      <c r="P22" s="194">
        <v>105.93420353034531</v>
      </c>
      <c r="Q22" s="194">
        <v>189.3392784071348</v>
      </c>
      <c r="R22" s="194">
        <v>-51.943413998679901</v>
      </c>
      <c r="S22" s="196">
        <f t="shared" si="0"/>
        <v>-1125.6119935981706</v>
      </c>
      <c r="T22" s="196">
        <f t="shared" si="1"/>
        <v>-1370.9308377641787</v>
      </c>
      <c r="AA22" s="200">
        <v>38352</v>
      </c>
      <c r="AB22" s="201">
        <v>1092</v>
      </c>
      <c r="AC22" s="202">
        <v>90.6</v>
      </c>
      <c r="AD22" s="202">
        <v>16.8</v>
      </c>
      <c r="AE22" s="202">
        <v>203.2</v>
      </c>
      <c r="AF22" s="202">
        <v>484.5</v>
      </c>
      <c r="AG22" s="202">
        <v>67.900000000000006</v>
      </c>
      <c r="AH22" s="202">
        <v>4.8</v>
      </c>
      <c r="AI22" s="202">
        <v>7.8</v>
      </c>
      <c r="AJ22" s="202">
        <v>7.9</v>
      </c>
      <c r="AK22" s="202">
        <v>35.700000000000003</v>
      </c>
      <c r="AL22" s="202">
        <v>165.6</v>
      </c>
      <c r="AM22" s="202">
        <v>6.8</v>
      </c>
      <c r="AN22" s="202">
        <v>0.3</v>
      </c>
      <c r="AO22" s="201">
        <v>757.9</v>
      </c>
      <c r="AP22" s="202">
        <v>29.1</v>
      </c>
      <c r="AQ22" s="202">
        <v>6.8</v>
      </c>
      <c r="AR22" s="202">
        <v>103.5</v>
      </c>
      <c r="AS22" s="202">
        <v>150.9</v>
      </c>
      <c r="AT22" s="202">
        <v>43.8</v>
      </c>
      <c r="AU22" s="202">
        <v>10.3</v>
      </c>
      <c r="AV22" s="202">
        <v>37.200000000000003</v>
      </c>
      <c r="AW22" s="202">
        <v>37.1</v>
      </c>
      <c r="AX22" s="202">
        <v>47.4</v>
      </c>
      <c r="AY22" s="202">
        <v>268.2</v>
      </c>
      <c r="AZ22" s="202">
        <v>14.7</v>
      </c>
      <c r="BA22" s="202">
        <v>8.5</v>
      </c>
      <c r="BC22" s="200">
        <v>38352</v>
      </c>
      <c r="BD22" s="201">
        <v>147.4</v>
      </c>
      <c r="BE22" s="202">
        <v>67.5</v>
      </c>
      <c r="BF22" s="202">
        <v>79.8</v>
      </c>
      <c r="BG22" s="201">
        <v>228.1</v>
      </c>
      <c r="BH22" s="202">
        <v>6.8</v>
      </c>
      <c r="BI22" s="202">
        <v>221.4</v>
      </c>
      <c r="BK22" s="200">
        <v>38352</v>
      </c>
      <c r="BL22" s="201">
        <v>487.1</v>
      </c>
      <c r="BM22" s="202">
        <v>339.6</v>
      </c>
      <c r="BN22" s="201">
        <v>105.9</v>
      </c>
      <c r="BO22" s="202">
        <v>26.5</v>
      </c>
      <c r="BQ22" s="192">
        <v>35885</v>
      </c>
      <c r="BR22" s="193">
        <v>2267.5123919624798</v>
      </c>
      <c r="BS22" s="193">
        <v>-36.180627124050261</v>
      </c>
    </row>
    <row r="23" spans="1:71" ht="14.25" customHeight="1">
      <c r="A23" s="21">
        <v>38442</v>
      </c>
      <c r="B23" s="194">
        <v>1252.174468647816</v>
      </c>
      <c r="C23" s="194">
        <v>764.37857856003541</v>
      </c>
      <c r="D23" s="194">
        <v>151.61192309193586</v>
      </c>
      <c r="E23" s="194">
        <v>457.77816573420716</v>
      </c>
      <c r="F23" s="194">
        <v>2.5468719547037608</v>
      </c>
      <c r="G23" s="194">
        <v>66.615471576553034</v>
      </c>
      <c r="H23" s="194">
        <v>14.694893993449632</v>
      </c>
      <c r="I23" s="194">
        <v>88.352000000000004</v>
      </c>
      <c r="J23" s="194">
        <v>-1878.7459953787079</v>
      </c>
      <c r="K23" s="195">
        <v>188.07689987574938</v>
      </c>
      <c r="L23" s="194">
        <v>125.89051673312542</v>
      </c>
      <c r="M23" s="194">
        <v>2874.1986757802742</v>
      </c>
      <c r="N23" s="194">
        <v>676.85782267141587</v>
      </c>
      <c r="O23" s="194">
        <v>299.64376316675651</v>
      </c>
      <c r="P23" s="194">
        <v>111.33733330177679</v>
      </c>
      <c r="Q23" s="194">
        <v>265.1145244451921</v>
      </c>
      <c r="R23" s="194">
        <v>-578.46418417974826</v>
      </c>
      <c r="S23" s="196">
        <f t="shared" si="0"/>
        <v>-1336.0944588862289</v>
      </c>
      <c r="T23" s="196">
        <f t="shared" si="1"/>
        <v>-2415.3141403967998</v>
      </c>
      <c r="AA23" s="200">
        <v>38442</v>
      </c>
      <c r="AB23" s="201">
        <v>764.6</v>
      </c>
      <c r="AC23" s="202">
        <v>71.5</v>
      </c>
      <c r="AD23" s="202">
        <v>14.1</v>
      </c>
      <c r="AE23" s="202">
        <v>172.9</v>
      </c>
      <c r="AF23" s="202">
        <v>260.89999999999998</v>
      </c>
      <c r="AG23" s="202">
        <v>6</v>
      </c>
      <c r="AH23" s="202">
        <v>3.2</v>
      </c>
      <c r="AI23" s="202">
        <v>5.3</v>
      </c>
      <c r="AJ23" s="202">
        <v>35.200000000000003</v>
      </c>
      <c r="AK23" s="202">
        <v>38.1</v>
      </c>
      <c r="AL23" s="202">
        <v>153</v>
      </c>
      <c r="AM23" s="202">
        <v>4.3</v>
      </c>
      <c r="AN23" s="202">
        <v>0</v>
      </c>
      <c r="AO23" s="201">
        <v>677.3</v>
      </c>
      <c r="AP23" s="202">
        <v>17.3</v>
      </c>
      <c r="AQ23" s="202">
        <v>9.1</v>
      </c>
      <c r="AR23" s="202">
        <v>87.9</v>
      </c>
      <c r="AS23" s="202">
        <v>161.30000000000001</v>
      </c>
      <c r="AT23" s="202">
        <v>0.3</v>
      </c>
      <c r="AU23" s="202">
        <v>8</v>
      </c>
      <c r="AV23" s="202">
        <v>39.200000000000003</v>
      </c>
      <c r="AW23" s="202">
        <v>43.2</v>
      </c>
      <c r="AX23" s="202">
        <v>56.5</v>
      </c>
      <c r="AY23" s="202">
        <v>234.3</v>
      </c>
      <c r="AZ23" s="202">
        <v>9.6999999999999993</v>
      </c>
      <c r="BA23" s="202">
        <v>10.4</v>
      </c>
      <c r="BC23" s="200">
        <v>38442</v>
      </c>
      <c r="BD23" s="201">
        <v>151.69999999999999</v>
      </c>
      <c r="BE23" s="202">
        <v>66.099999999999994</v>
      </c>
      <c r="BF23" s="202">
        <v>85.5</v>
      </c>
      <c r="BG23" s="201">
        <v>304.2</v>
      </c>
      <c r="BH23" s="202">
        <v>5.0999999999999996</v>
      </c>
      <c r="BI23" s="202">
        <v>299.10000000000002</v>
      </c>
      <c r="BK23" s="200">
        <v>38442</v>
      </c>
      <c r="BL23" s="201">
        <v>457.8</v>
      </c>
      <c r="BM23" s="202">
        <v>268.5</v>
      </c>
      <c r="BN23" s="201">
        <v>111.3</v>
      </c>
      <c r="BO23" s="202">
        <v>25.8</v>
      </c>
      <c r="BQ23" s="192">
        <v>35976</v>
      </c>
      <c r="BR23" s="193">
        <v>2336.1301030299519</v>
      </c>
      <c r="BS23" s="193">
        <v>68.617711067472101</v>
      </c>
    </row>
    <row r="24" spans="1:71" ht="14.25" customHeight="1">
      <c r="A24" s="21">
        <v>38533</v>
      </c>
      <c r="B24" s="194">
        <v>1522.1151152624323</v>
      </c>
      <c r="C24" s="194">
        <v>1694.1516647828457</v>
      </c>
      <c r="D24" s="194">
        <v>218.54092897916703</v>
      </c>
      <c r="E24" s="194">
        <v>495.36432617654475</v>
      </c>
      <c r="F24" s="194">
        <v>2.2690305790000003</v>
      </c>
      <c r="G24" s="194">
        <v>90.588010555252993</v>
      </c>
      <c r="H24" s="194">
        <v>195.44340859169995</v>
      </c>
      <c r="I24" s="194">
        <v>0</v>
      </c>
      <c r="J24" s="194">
        <v>-974.73241442173185</v>
      </c>
      <c r="K24" s="195">
        <v>282.39218314092022</v>
      </c>
      <c r="L24" s="194">
        <v>160.67218278359292</v>
      </c>
      <c r="M24" s="194">
        <v>3640.8639835235858</v>
      </c>
      <c r="N24" s="194">
        <v>724.68777805326795</v>
      </c>
      <c r="O24" s="194">
        <v>714.44434724779103</v>
      </c>
      <c r="P24" s="194">
        <v>116.3731505212877</v>
      </c>
      <c r="Q24" s="194">
        <v>678.30381278218579</v>
      </c>
      <c r="R24" s="194">
        <v>18.643385866305614</v>
      </c>
      <c r="S24" s="196">
        <f t="shared" si="0"/>
        <v>-1266.197224144943</v>
      </c>
      <c r="T24" s="196">
        <f t="shared" si="1"/>
        <v>-2206.5120215647003</v>
      </c>
      <c r="AA24" s="200">
        <v>38533</v>
      </c>
      <c r="AB24" s="201">
        <v>1692.1</v>
      </c>
      <c r="AC24" s="202">
        <v>78.400000000000006</v>
      </c>
      <c r="AD24" s="202">
        <v>21</v>
      </c>
      <c r="AE24" s="202">
        <v>239.2</v>
      </c>
      <c r="AF24" s="202">
        <v>1096.9000000000001</v>
      </c>
      <c r="AG24" s="202">
        <v>8.4</v>
      </c>
      <c r="AH24" s="202">
        <v>3.8</v>
      </c>
      <c r="AI24" s="202">
        <v>4.8</v>
      </c>
      <c r="AJ24" s="202">
        <v>10.3</v>
      </c>
      <c r="AK24" s="202">
        <v>57.9</v>
      </c>
      <c r="AL24" s="202">
        <v>165.3</v>
      </c>
      <c r="AM24" s="202">
        <v>5.3</v>
      </c>
      <c r="AN24" s="202">
        <v>0.4</v>
      </c>
      <c r="AO24" s="201">
        <v>724.6</v>
      </c>
      <c r="AP24" s="202">
        <v>49.3</v>
      </c>
      <c r="AQ24" s="202">
        <v>9.8000000000000007</v>
      </c>
      <c r="AR24" s="202">
        <v>114.5</v>
      </c>
      <c r="AS24" s="202">
        <v>146</v>
      </c>
      <c r="AT24" s="202">
        <v>0.7</v>
      </c>
      <c r="AU24" s="202">
        <v>9.8000000000000007</v>
      </c>
      <c r="AV24" s="202">
        <v>33.9</v>
      </c>
      <c r="AW24" s="202">
        <v>34</v>
      </c>
      <c r="AX24" s="202">
        <v>48.5</v>
      </c>
      <c r="AY24" s="202">
        <v>255.7</v>
      </c>
      <c r="AZ24" s="202">
        <v>12.3</v>
      </c>
      <c r="BA24" s="202">
        <v>10.199999999999999</v>
      </c>
      <c r="BC24" s="200">
        <v>38533</v>
      </c>
      <c r="BD24" s="201">
        <v>218.4</v>
      </c>
      <c r="BE24" s="202">
        <v>73.900000000000006</v>
      </c>
      <c r="BF24" s="202">
        <v>144.30000000000001</v>
      </c>
      <c r="BG24" s="201">
        <v>720.6</v>
      </c>
      <c r="BH24" s="202">
        <v>5.4</v>
      </c>
      <c r="BI24" s="202">
        <v>715.1</v>
      </c>
      <c r="BK24" s="200">
        <v>38533</v>
      </c>
      <c r="BL24" s="201">
        <v>495.4</v>
      </c>
      <c r="BM24" s="202">
        <v>331.7</v>
      </c>
      <c r="BN24" s="201">
        <v>116.4</v>
      </c>
      <c r="BO24" s="202">
        <v>30.4</v>
      </c>
      <c r="BQ24" s="192">
        <v>36068</v>
      </c>
      <c r="BR24" s="193">
        <v>2348.0372122288686</v>
      </c>
      <c r="BS24" s="193">
        <v>11.907109198916714</v>
      </c>
    </row>
    <row r="25" spans="1:71" ht="14.25" customHeight="1">
      <c r="A25" s="21">
        <v>38625</v>
      </c>
      <c r="B25" s="194">
        <v>1586.109078286009</v>
      </c>
      <c r="C25" s="194">
        <v>3814.0208527775553</v>
      </c>
      <c r="D25" s="194">
        <v>176.16735507009622</v>
      </c>
      <c r="E25" s="194">
        <v>448.2383268004769</v>
      </c>
      <c r="F25" s="194">
        <v>3.8687470072674413</v>
      </c>
      <c r="G25" s="194">
        <v>-6.8651202759469143</v>
      </c>
      <c r="H25" s="194">
        <v>285.37526669037089</v>
      </c>
      <c r="I25" s="194">
        <v>0</v>
      </c>
      <c r="J25" s="194">
        <v>250.54882275753769</v>
      </c>
      <c r="K25" s="195">
        <v>-67.574851451983491</v>
      </c>
      <c r="L25" s="194">
        <v>-1099.4848142227072</v>
      </c>
      <c r="M25" s="194">
        <v>3476.8679628427781</v>
      </c>
      <c r="N25" s="194">
        <v>750.11704821203</v>
      </c>
      <c r="O25" s="194">
        <v>320.91482941383936</v>
      </c>
      <c r="P25" s="194">
        <v>129.27431677537598</v>
      </c>
      <c r="Q25" s="194">
        <v>293.94655843218942</v>
      </c>
      <c r="R25" s="194">
        <v>-84.207829186885434</v>
      </c>
      <c r="S25" s="196">
        <f t="shared" si="0"/>
        <v>1347.3614556901139</v>
      </c>
      <c r="T25" s="196">
        <f t="shared" si="1"/>
        <v>503.4907769493484</v>
      </c>
      <c r="AA25" s="200">
        <v>38625</v>
      </c>
      <c r="AB25" s="201">
        <v>3801.9</v>
      </c>
      <c r="AC25" s="202">
        <v>63.2</v>
      </c>
      <c r="AD25" s="202">
        <v>17.2</v>
      </c>
      <c r="AE25" s="202">
        <v>265.2</v>
      </c>
      <c r="AF25" s="202">
        <v>3149.7</v>
      </c>
      <c r="AG25" s="202">
        <v>11.3</v>
      </c>
      <c r="AH25" s="202">
        <v>4.2</v>
      </c>
      <c r="AI25" s="202">
        <v>4.9000000000000004</v>
      </c>
      <c r="AJ25" s="202">
        <v>4.7</v>
      </c>
      <c r="AK25" s="202">
        <v>107.2</v>
      </c>
      <c r="AL25" s="202">
        <v>166.6</v>
      </c>
      <c r="AM25" s="202">
        <v>7.9</v>
      </c>
      <c r="AN25" s="202">
        <v>0.1</v>
      </c>
      <c r="AO25" s="201">
        <v>749.2</v>
      </c>
      <c r="AP25" s="202">
        <v>30.2</v>
      </c>
      <c r="AQ25" s="202">
        <v>11</v>
      </c>
      <c r="AR25" s="202">
        <v>121.5</v>
      </c>
      <c r="AS25" s="202">
        <v>185.5</v>
      </c>
      <c r="AT25" s="202">
        <v>1.6</v>
      </c>
      <c r="AU25" s="202">
        <v>10.6</v>
      </c>
      <c r="AV25" s="202">
        <v>38.1</v>
      </c>
      <c r="AW25" s="202">
        <v>30.5</v>
      </c>
      <c r="AX25" s="202">
        <v>54.5</v>
      </c>
      <c r="AY25" s="202">
        <v>246.6</v>
      </c>
      <c r="AZ25" s="202">
        <v>9.6</v>
      </c>
      <c r="BA25" s="202">
        <v>9.5</v>
      </c>
      <c r="BC25" s="200">
        <v>38625</v>
      </c>
      <c r="BD25" s="201">
        <v>175.8</v>
      </c>
      <c r="BE25" s="202">
        <v>71.599999999999994</v>
      </c>
      <c r="BF25" s="202">
        <v>104.2</v>
      </c>
      <c r="BG25" s="201">
        <v>327</v>
      </c>
      <c r="BH25" s="202">
        <v>11.9</v>
      </c>
      <c r="BI25" s="202">
        <v>314.89999999999998</v>
      </c>
      <c r="BK25" s="200">
        <v>38625</v>
      </c>
      <c r="BL25" s="201">
        <v>447.6</v>
      </c>
      <c r="BM25" s="202">
        <v>296.10000000000002</v>
      </c>
      <c r="BN25" s="201">
        <v>129.1</v>
      </c>
      <c r="BO25" s="202">
        <v>33.5</v>
      </c>
      <c r="BQ25" s="192">
        <v>36160</v>
      </c>
      <c r="BR25" s="193">
        <v>2400.1793151536754</v>
      </c>
      <c r="BS25" s="193">
        <v>52.14210292480675</v>
      </c>
    </row>
    <row r="26" spans="1:71" ht="14.25" customHeight="1">
      <c r="A26" s="21">
        <v>38717</v>
      </c>
      <c r="B26" s="194">
        <v>1705.8884797002793</v>
      </c>
      <c r="C26" s="194">
        <v>1098.7542871029177</v>
      </c>
      <c r="D26" s="194">
        <v>193.52798010453103</v>
      </c>
      <c r="E26" s="194">
        <v>474.28227464040867</v>
      </c>
      <c r="F26" s="194">
        <v>44.361903312989526</v>
      </c>
      <c r="G26" s="194">
        <v>60.338123424452853</v>
      </c>
      <c r="H26" s="194">
        <v>85.785612158672478</v>
      </c>
      <c r="I26" s="194">
        <v>0</v>
      </c>
      <c r="J26" s="194">
        <v>-1454.3773671935514</v>
      </c>
      <c r="K26" s="195">
        <v>418.91583618290446</v>
      </c>
      <c r="L26" s="194">
        <v>202.2004327922084</v>
      </c>
      <c r="M26" s="194">
        <v>3722.0343473430053</v>
      </c>
      <c r="N26" s="194">
        <v>754.81509160956534</v>
      </c>
      <c r="O26" s="194">
        <v>251.57467524694928</v>
      </c>
      <c r="P26" s="194">
        <v>131.37608761681662</v>
      </c>
      <c r="Q26" s="194">
        <v>214.07447791117619</v>
      </c>
      <c r="R26" s="194">
        <v>37.372570824304034</v>
      </c>
      <c r="S26" s="196">
        <f t="shared" si="0"/>
        <v>-1387.3471802681993</v>
      </c>
      <c r="T26" s="196">
        <f t="shared" si="1"/>
        <v>-2281.5696883260034</v>
      </c>
      <c r="AA26" s="200">
        <v>38717</v>
      </c>
      <c r="AB26" s="201">
        <v>1098.9000000000001</v>
      </c>
      <c r="AC26" s="202">
        <v>74.900000000000006</v>
      </c>
      <c r="AD26" s="202">
        <v>17.3</v>
      </c>
      <c r="AE26" s="202">
        <v>205.3</v>
      </c>
      <c r="AF26" s="202">
        <v>525.1</v>
      </c>
      <c r="AG26" s="202">
        <v>8.9</v>
      </c>
      <c r="AH26" s="202">
        <v>6.5</v>
      </c>
      <c r="AI26" s="202">
        <v>6.1</v>
      </c>
      <c r="AJ26" s="202">
        <v>6.8</v>
      </c>
      <c r="AK26" s="202">
        <v>55.4</v>
      </c>
      <c r="AL26" s="202">
        <v>186.6</v>
      </c>
      <c r="AM26" s="202">
        <v>5.7</v>
      </c>
      <c r="AN26" s="202">
        <v>0</v>
      </c>
      <c r="AO26" s="201">
        <v>754.8</v>
      </c>
      <c r="AP26" s="202">
        <v>18.100000000000001</v>
      </c>
      <c r="AQ26" s="202">
        <v>8.3000000000000007</v>
      </c>
      <c r="AR26" s="202">
        <v>116.6</v>
      </c>
      <c r="AS26" s="202">
        <v>111.5</v>
      </c>
      <c r="AT26" s="202">
        <v>1.5</v>
      </c>
      <c r="AU26" s="202">
        <v>10</v>
      </c>
      <c r="AV26" s="202">
        <v>41.7</v>
      </c>
      <c r="AW26" s="202">
        <v>46.9</v>
      </c>
      <c r="AX26" s="202">
        <v>58.9</v>
      </c>
      <c r="AY26" s="202">
        <v>317.3</v>
      </c>
      <c r="AZ26" s="202">
        <v>13.5</v>
      </c>
      <c r="BA26" s="202">
        <v>10.8</v>
      </c>
      <c r="BC26" s="200">
        <v>38717</v>
      </c>
      <c r="BD26" s="201">
        <v>193.6</v>
      </c>
      <c r="BE26" s="202">
        <v>77.3</v>
      </c>
      <c r="BF26" s="202">
        <v>116.2</v>
      </c>
      <c r="BG26" s="201">
        <v>257.5</v>
      </c>
      <c r="BH26" s="202">
        <v>7</v>
      </c>
      <c r="BI26" s="202">
        <v>250.3</v>
      </c>
      <c r="BK26" s="200">
        <v>38717</v>
      </c>
      <c r="BL26" s="201">
        <v>474.2</v>
      </c>
      <c r="BM26" s="202">
        <v>322.39999999999998</v>
      </c>
      <c r="BN26" s="201">
        <v>131.4</v>
      </c>
      <c r="BO26" s="202">
        <v>40</v>
      </c>
      <c r="BQ26" s="192">
        <v>36250</v>
      </c>
      <c r="BR26" s="193">
        <v>2287.2117254504178</v>
      </c>
      <c r="BS26" s="193">
        <v>-112.96758970325754</v>
      </c>
    </row>
    <row r="27" spans="1:71" ht="14.25" customHeight="1">
      <c r="A27" s="21">
        <v>38807</v>
      </c>
      <c r="B27" s="194">
        <v>1672.3885393380078</v>
      </c>
      <c r="C27" s="194">
        <v>797.08535799081574</v>
      </c>
      <c r="D27" s="194">
        <v>173.77758786615385</v>
      </c>
      <c r="E27" s="194">
        <v>462.22920118275005</v>
      </c>
      <c r="F27" s="194">
        <v>-5.3342260346889585</v>
      </c>
      <c r="G27" s="194">
        <v>56.100714747188526</v>
      </c>
      <c r="H27" s="194">
        <v>71.610025581812138</v>
      </c>
      <c r="I27" s="194">
        <v>0</v>
      </c>
      <c r="J27" s="194">
        <v>-2564.3181985886085</v>
      </c>
      <c r="K27" s="195">
        <v>672.55407077532141</v>
      </c>
      <c r="L27" s="194">
        <v>170.24128471896006</v>
      </c>
      <c r="M27" s="194">
        <v>3525.0780418724557</v>
      </c>
      <c r="N27" s="194">
        <v>784.6799937436549</v>
      </c>
      <c r="O27" s="194">
        <v>493.16083370476974</v>
      </c>
      <c r="P27" s="194">
        <v>116.24100425839939</v>
      </c>
      <c r="Q27" s="194">
        <v>328.31684700579257</v>
      </c>
      <c r="R27" s="194">
        <v>-443.59810597279778</v>
      </c>
      <c r="S27" s="196">
        <f t="shared" si="0"/>
        <v>-1813.6791872015533</v>
      </c>
      <c r="T27" s="196">
        <f t="shared" si="1"/>
        <v>-3297.5442570345635</v>
      </c>
      <c r="AA27" s="200">
        <v>38807</v>
      </c>
      <c r="AB27" s="201">
        <v>797.3</v>
      </c>
      <c r="AC27" s="202">
        <v>66.7</v>
      </c>
      <c r="AD27" s="202">
        <v>16.2</v>
      </c>
      <c r="AE27" s="202">
        <v>196.9</v>
      </c>
      <c r="AF27" s="202">
        <v>261.39999999999998</v>
      </c>
      <c r="AG27" s="202">
        <v>9.5</v>
      </c>
      <c r="AH27" s="202">
        <v>5.3</v>
      </c>
      <c r="AI27" s="202">
        <v>3.9</v>
      </c>
      <c r="AJ27" s="202">
        <v>9.9</v>
      </c>
      <c r="AK27" s="202">
        <v>36.799999999999997</v>
      </c>
      <c r="AL27" s="202">
        <v>181</v>
      </c>
      <c r="AM27" s="202">
        <v>9.3000000000000007</v>
      </c>
      <c r="AN27" s="202">
        <v>0.1</v>
      </c>
      <c r="AO27" s="201">
        <v>784.9</v>
      </c>
      <c r="AP27" s="202">
        <v>59</v>
      </c>
      <c r="AQ27" s="202">
        <v>9.8000000000000007</v>
      </c>
      <c r="AR27" s="202">
        <v>102.6</v>
      </c>
      <c r="AS27" s="202">
        <v>113</v>
      </c>
      <c r="AT27" s="202">
        <v>1.2</v>
      </c>
      <c r="AU27" s="202">
        <v>12.3</v>
      </c>
      <c r="AV27" s="202">
        <v>39.200000000000003</v>
      </c>
      <c r="AW27" s="202">
        <v>41.4</v>
      </c>
      <c r="AX27" s="202">
        <v>60.6</v>
      </c>
      <c r="AY27" s="202">
        <v>320.5</v>
      </c>
      <c r="AZ27" s="202">
        <v>15</v>
      </c>
      <c r="BA27" s="202">
        <v>10.5</v>
      </c>
      <c r="BC27" s="200">
        <v>38807</v>
      </c>
      <c r="BD27" s="201">
        <v>173.8</v>
      </c>
      <c r="BE27" s="202">
        <v>76.400000000000006</v>
      </c>
      <c r="BF27" s="202">
        <v>97.2</v>
      </c>
      <c r="BG27" s="201">
        <v>498.5</v>
      </c>
      <c r="BH27" s="202">
        <v>9.1</v>
      </c>
      <c r="BI27" s="202">
        <v>489.2</v>
      </c>
      <c r="BK27" s="200">
        <v>38807</v>
      </c>
      <c r="BL27" s="201">
        <v>462.2</v>
      </c>
      <c r="BM27" s="202">
        <v>297.60000000000002</v>
      </c>
      <c r="BN27" s="201">
        <v>116.2</v>
      </c>
      <c r="BO27" s="202">
        <v>33.5</v>
      </c>
      <c r="BQ27" s="192">
        <v>36341</v>
      </c>
      <c r="BR27" s="193">
        <v>2521.7702222760204</v>
      </c>
      <c r="BS27" s="193">
        <v>234.55849682560256</v>
      </c>
    </row>
    <row r="28" spans="1:71" ht="14.25" customHeight="1">
      <c r="A28" s="21">
        <v>38898</v>
      </c>
      <c r="B28" s="194">
        <v>1648.5438600869782</v>
      </c>
      <c r="C28" s="194">
        <v>1898.9243956192804</v>
      </c>
      <c r="D28" s="194">
        <v>213.59575533452701</v>
      </c>
      <c r="E28" s="194">
        <v>514.20964098923832</v>
      </c>
      <c r="F28" s="194">
        <v>3.2273327482560155</v>
      </c>
      <c r="G28" s="194">
        <v>43.054818148288504</v>
      </c>
      <c r="H28" s="194">
        <v>32.076614662749414</v>
      </c>
      <c r="I28" s="194">
        <v>0</v>
      </c>
      <c r="J28" s="194">
        <v>-1229.9770353381361</v>
      </c>
      <c r="K28" s="195">
        <v>697.18984428304009</v>
      </c>
      <c r="L28" s="194">
        <v>-57.853153988028907</v>
      </c>
      <c r="M28" s="194">
        <v>4030.182911223159</v>
      </c>
      <c r="N28" s="194">
        <v>774.78624855341388</v>
      </c>
      <c r="O28" s="194">
        <v>728.39325230761676</v>
      </c>
      <c r="P28" s="194">
        <v>157.00531933754618</v>
      </c>
      <c r="Q28" s="194">
        <v>733.07837127399296</v>
      </c>
      <c r="R28" s="194">
        <v>278.9857711134336</v>
      </c>
      <c r="S28" s="196">
        <f t="shared" si="0"/>
        <v>-1415.0940793917116</v>
      </c>
      <c r="T28" s="196">
        <f t="shared" si="1"/>
        <v>-2939.4398012629699</v>
      </c>
      <c r="AA28" s="200">
        <v>38898</v>
      </c>
      <c r="AB28" s="201">
        <v>1897.5</v>
      </c>
      <c r="AC28" s="202">
        <v>80.400000000000006</v>
      </c>
      <c r="AD28" s="202">
        <v>16.8</v>
      </c>
      <c r="AE28" s="202">
        <v>281.39999999999998</v>
      </c>
      <c r="AF28" s="202">
        <v>1234.2</v>
      </c>
      <c r="AG28" s="202">
        <v>15.3</v>
      </c>
      <c r="AH28" s="202">
        <v>4.8</v>
      </c>
      <c r="AI28" s="202">
        <v>7.1</v>
      </c>
      <c r="AJ28" s="202">
        <v>8.9</v>
      </c>
      <c r="AK28" s="202">
        <v>62.6</v>
      </c>
      <c r="AL28" s="202">
        <v>176.5</v>
      </c>
      <c r="AM28" s="202">
        <v>9.5</v>
      </c>
      <c r="AN28" s="202">
        <v>0.1</v>
      </c>
      <c r="AO28" s="201">
        <v>774.9</v>
      </c>
      <c r="AP28" s="202">
        <v>33.4</v>
      </c>
      <c r="AQ28" s="202">
        <v>10.7</v>
      </c>
      <c r="AR28" s="202">
        <v>128.19999999999999</v>
      </c>
      <c r="AS28" s="202">
        <v>148.80000000000001</v>
      </c>
      <c r="AT28" s="202">
        <v>0.5</v>
      </c>
      <c r="AU28" s="202">
        <v>11.1</v>
      </c>
      <c r="AV28" s="202">
        <v>64.3</v>
      </c>
      <c r="AW28" s="202">
        <v>39.700000000000003</v>
      </c>
      <c r="AX28" s="202">
        <v>52.6</v>
      </c>
      <c r="AY28" s="202">
        <v>261.7</v>
      </c>
      <c r="AZ28" s="202">
        <v>12.4</v>
      </c>
      <c r="BA28" s="202">
        <v>11.4</v>
      </c>
      <c r="BC28" s="200">
        <v>38898</v>
      </c>
      <c r="BD28" s="201">
        <v>213.5</v>
      </c>
      <c r="BE28" s="202">
        <v>86.3</v>
      </c>
      <c r="BF28" s="202">
        <v>127.2</v>
      </c>
      <c r="BG28" s="201">
        <v>739.8</v>
      </c>
      <c r="BH28" s="202">
        <v>7.8</v>
      </c>
      <c r="BI28" s="202">
        <v>732</v>
      </c>
      <c r="BK28" s="200">
        <v>38898</v>
      </c>
      <c r="BL28" s="201">
        <v>514.20000000000005</v>
      </c>
      <c r="BM28" s="202">
        <v>340</v>
      </c>
      <c r="BN28" s="201">
        <v>157</v>
      </c>
      <c r="BO28" s="202">
        <v>41.9</v>
      </c>
      <c r="BQ28" s="192">
        <v>36433</v>
      </c>
      <c r="BR28" s="193">
        <v>2674.4938194898568</v>
      </c>
      <c r="BS28" s="193">
        <v>152.72359721383646</v>
      </c>
    </row>
    <row r="29" spans="1:71" ht="14.25" customHeight="1">
      <c r="A29" s="21">
        <v>38990</v>
      </c>
      <c r="B29" s="194">
        <v>1819.8008720648538</v>
      </c>
      <c r="C29" s="194">
        <v>4226.8107461549507</v>
      </c>
      <c r="D29" s="194">
        <v>260.18797879472311</v>
      </c>
      <c r="E29" s="194">
        <v>455.20523339960698</v>
      </c>
      <c r="F29" s="194">
        <v>6.8535534799999986</v>
      </c>
      <c r="G29" s="194">
        <v>85.624927444188614</v>
      </c>
      <c r="H29" s="194">
        <v>-26.003588135588288</v>
      </c>
      <c r="I29" s="194">
        <v>0</v>
      </c>
      <c r="J29" s="194">
        <v>1113.7744565430264</v>
      </c>
      <c r="K29" s="195">
        <v>-596.41351613621168</v>
      </c>
      <c r="L29" s="194">
        <v>-1429.8042592909212</v>
      </c>
      <c r="M29" s="194">
        <v>4022.9556457010362</v>
      </c>
      <c r="N29" s="194">
        <v>718.88481343093042</v>
      </c>
      <c r="O29" s="194">
        <v>404.23235048726309</v>
      </c>
      <c r="P29" s="194">
        <v>146.73210946092786</v>
      </c>
      <c r="Q29" s="194">
        <v>372.37768865609348</v>
      </c>
      <c r="R29" s="194">
        <v>158.35538553626617</v>
      </c>
      <c r="S29" s="196">
        <f t="shared" si="0"/>
        <v>1469.1999113339771</v>
      </c>
      <c r="T29" s="196">
        <f t="shared" si="1"/>
        <v>92.498411046111869</v>
      </c>
      <c r="AA29" s="200">
        <v>38990</v>
      </c>
      <c r="AB29" s="201">
        <v>4213.3</v>
      </c>
      <c r="AC29" s="202">
        <v>68</v>
      </c>
      <c r="AD29" s="202">
        <v>23.3</v>
      </c>
      <c r="AE29" s="202">
        <v>323.5</v>
      </c>
      <c r="AF29" s="202">
        <v>3476.9</v>
      </c>
      <c r="AG29" s="202">
        <v>17.8</v>
      </c>
      <c r="AH29" s="202">
        <v>4.9000000000000004</v>
      </c>
      <c r="AI29" s="202">
        <v>12.4</v>
      </c>
      <c r="AJ29" s="202">
        <v>7.7</v>
      </c>
      <c r="AK29" s="202">
        <v>117.1</v>
      </c>
      <c r="AL29" s="202">
        <v>150</v>
      </c>
      <c r="AM29" s="202">
        <v>11.5</v>
      </c>
      <c r="AN29" s="202">
        <v>0.3</v>
      </c>
      <c r="AO29" s="201">
        <v>717.8</v>
      </c>
      <c r="AP29" s="202">
        <v>18.100000000000001</v>
      </c>
      <c r="AQ29" s="202">
        <v>10</v>
      </c>
      <c r="AR29" s="202">
        <v>133.5</v>
      </c>
      <c r="AS29" s="202">
        <v>163.6</v>
      </c>
      <c r="AT29" s="202">
        <v>1</v>
      </c>
      <c r="AU29" s="202">
        <v>11.9</v>
      </c>
      <c r="AV29" s="202">
        <v>53.2</v>
      </c>
      <c r="AW29" s="202">
        <v>29.1</v>
      </c>
      <c r="AX29" s="202">
        <v>62.1</v>
      </c>
      <c r="AY29" s="202">
        <v>208.9</v>
      </c>
      <c r="AZ29" s="202">
        <v>15.7</v>
      </c>
      <c r="BA29" s="202">
        <v>10.8</v>
      </c>
      <c r="BC29" s="200">
        <v>38990</v>
      </c>
      <c r="BD29" s="201">
        <v>260.3</v>
      </c>
      <c r="BE29" s="202">
        <v>116</v>
      </c>
      <c r="BF29" s="202">
        <v>144.30000000000001</v>
      </c>
      <c r="BG29" s="201">
        <v>412.9</v>
      </c>
      <c r="BH29" s="202">
        <v>6.4</v>
      </c>
      <c r="BI29" s="202">
        <v>406.7</v>
      </c>
      <c r="BK29" s="200">
        <v>38990</v>
      </c>
      <c r="BL29" s="201">
        <v>454.9</v>
      </c>
      <c r="BM29" s="202">
        <v>243.7</v>
      </c>
      <c r="BN29" s="201">
        <v>146.6</v>
      </c>
      <c r="BO29" s="202">
        <v>51.7</v>
      </c>
      <c r="BQ29" s="192">
        <v>36525</v>
      </c>
      <c r="BR29" s="193">
        <v>3012.6672146661112</v>
      </c>
      <c r="BS29" s="193">
        <v>338.17339517625442</v>
      </c>
    </row>
    <row r="30" spans="1:71" ht="14.25" customHeight="1">
      <c r="A30" s="21">
        <v>39082</v>
      </c>
      <c r="B30" s="194">
        <v>1998.4743845761184</v>
      </c>
      <c r="C30" s="194">
        <v>1205.6007853588196</v>
      </c>
      <c r="D30" s="194">
        <v>278.40933406493639</v>
      </c>
      <c r="E30" s="194">
        <v>440.94740873403509</v>
      </c>
      <c r="F30" s="194">
        <v>18.682397079311777</v>
      </c>
      <c r="G30" s="194">
        <v>68.076963546688603</v>
      </c>
      <c r="H30" s="194">
        <v>398.89030163200374</v>
      </c>
      <c r="I30" s="194">
        <v>0</v>
      </c>
      <c r="J30" s="194">
        <v>-724.76645933475197</v>
      </c>
      <c r="K30" s="195">
        <v>638.89993150982514</v>
      </c>
      <c r="L30" s="194">
        <v>467.55254892521168</v>
      </c>
      <c r="M30" s="194">
        <v>4043.1639134266379</v>
      </c>
      <c r="N30" s="194">
        <v>780.7919497271256</v>
      </c>
      <c r="O30" s="194">
        <v>315.30494347944665</v>
      </c>
      <c r="P30" s="194">
        <v>156.24660825434734</v>
      </c>
      <c r="Q30" s="194">
        <v>1057.9114435213978</v>
      </c>
      <c r="R30" s="194">
        <v>209.02984998149219</v>
      </c>
      <c r="S30" s="196">
        <f t="shared" si="0"/>
        <v>-1372.0755021536479</v>
      </c>
      <c r="T30" s="196">
        <f t="shared" si="1"/>
        <v>-1771.681112298249</v>
      </c>
      <c r="AA30" s="200">
        <v>39082</v>
      </c>
      <c r="AB30" s="201">
        <v>1206</v>
      </c>
      <c r="AC30" s="202">
        <v>78.599999999999994</v>
      </c>
      <c r="AD30" s="202">
        <v>22.5</v>
      </c>
      <c r="AE30" s="202">
        <v>237.5</v>
      </c>
      <c r="AF30" s="202">
        <v>599.9</v>
      </c>
      <c r="AG30" s="202">
        <v>19.600000000000001</v>
      </c>
      <c r="AH30" s="202">
        <v>5.4</v>
      </c>
      <c r="AI30" s="202">
        <v>12.8</v>
      </c>
      <c r="AJ30" s="202">
        <v>11.3</v>
      </c>
      <c r="AK30" s="202">
        <v>50</v>
      </c>
      <c r="AL30" s="202">
        <v>159.69999999999999</v>
      </c>
      <c r="AM30" s="202">
        <v>8.6</v>
      </c>
      <c r="AN30" s="202">
        <v>0.1</v>
      </c>
      <c r="AO30" s="201">
        <v>780.6</v>
      </c>
      <c r="AP30" s="202">
        <v>51.2</v>
      </c>
      <c r="AQ30" s="202">
        <v>9.8000000000000007</v>
      </c>
      <c r="AR30" s="202">
        <v>126.3</v>
      </c>
      <c r="AS30" s="202">
        <v>159</v>
      </c>
      <c r="AT30" s="202">
        <v>0.5</v>
      </c>
      <c r="AU30" s="202">
        <v>12.1</v>
      </c>
      <c r="AV30" s="202">
        <v>49.7</v>
      </c>
      <c r="AW30" s="202">
        <v>29.3</v>
      </c>
      <c r="AX30" s="202">
        <v>60.4</v>
      </c>
      <c r="AY30" s="202">
        <v>256.5</v>
      </c>
      <c r="AZ30" s="202">
        <v>13.7</v>
      </c>
      <c r="BA30" s="202">
        <v>12.4</v>
      </c>
      <c r="BC30" s="200">
        <v>39082</v>
      </c>
      <c r="BD30" s="201">
        <v>278.3</v>
      </c>
      <c r="BE30" s="202">
        <v>125.3</v>
      </c>
      <c r="BF30" s="202">
        <v>153</v>
      </c>
      <c r="BG30" s="201">
        <v>324.89999999999998</v>
      </c>
      <c r="BH30" s="202">
        <v>7.7</v>
      </c>
      <c r="BI30" s="202">
        <v>317.10000000000002</v>
      </c>
      <c r="BK30" s="200">
        <v>39082</v>
      </c>
      <c r="BL30" s="201">
        <v>441</v>
      </c>
      <c r="BM30" s="202">
        <v>249</v>
      </c>
      <c r="BN30" s="201">
        <v>156.30000000000001</v>
      </c>
      <c r="BO30" s="202">
        <v>50</v>
      </c>
      <c r="BQ30" s="192">
        <v>36616</v>
      </c>
      <c r="BR30" s="193">
        <v>3059.0741102473862</v>
      </c>
      <c r="BS30" s="193">
        <v>46.406895581274966</v>
      </c>
    </row>
    <row r="31" spans="1:71" ht="14.25" customHeight="1">
      <c r="A31" s="21">
        <v>39172</v>
      </c>
      <c r="B31" s="194">
        <v>1673.8283877534764</v>
      </c>
      <c r="C31" s="194">
        <v>904.52686692944394</v>
      </c>
      <c r="D31" s="194">
        <v>320.85172322523965</v>
      </c>
      <c r="E31" s="194">
        <v>415.7031808718246</v>
      </c>
      <c r="F31" s="194">
        <v>7.7595509299999996</v>
      </c>
      <c r="G31" s="194">
        <v>126.73416272732324</v>
      </c>
      <c r="H31" s="194">
        <v>293.19957095097982</v>
      </c>
      <c r="I31" s="194">
        <v>0</v>
      </c>
      <c r="J31" s="194">
        <v>-1208.5466121576708</v>
      </c>
      <c r="K31" s="195">
        <v>808.13699561606006</v>
      </c>
      <c r="L31" s="194">
        <v>7.4754910583687888</v>
      </c>
      <c r="M31" s="194">
        <v>3873.9476908477827</v>
      </c>
      <c r="N31" s="194">
        <v>729.21443242302382</v>
      </c>
      <c r="O31" s="194">
        <v>495.57922892201401</v>
      </c>
      <c r="P31" s="194">
        <v>122.46232734262851</v>
      </c>
      <c r="Q31" s="194">
        <v>1423.3470779855152</v>
      </c>
      <c r="R31" s="194">
        <v>487.23551791827316</v>
      </c>
      <c r="S31" s="196">
        <f t="shared" si="0"/>
        <v>-1906.2935207554647</v>
      </c>
      <c r="T31" s="196">
        <f t="shared" si="1"/>
        <v>-3782.1169575341924</v>
      </c>
      <c r="AA31" s="200">
        <v>39172</v>
      </c>
      <c r="AB31" s="201">
        <v>904.2</v>
      </c>
      <c r="AC31" s="202">
        <v>82.1</v>
      </c>
      <c r="AD31" s="202">
        <v>17.399999999999999</v>
      </c>
      <c r="AE31" s="202">
        <v>234.5</v>
      </c>
      <c r="AF31" s="202">
        <v>314.8</v>
      </c>
      <c r="AG31" s="202">
        <v>12.5</v>
      </c>
      <c r="AH31" s="202">
        <v>6</v>
      </c>
      <c r="AI31" s="202">
        <v>12.8</v>
      </c>
      <c r="AJ31" s="202">
        <v>6.8</v>
      </c>
      <c r="AK31" s="202">
        <v>44.3</v>
      </c>
      <c r="AL31" s="202">
        <v>166</v>
      </c>
      <c r="AM31" s="202">
        <v>6.8</v>
      </c>
      <c r="AN31" s="202">
        <v>0.1</v>
      </c>
      <c r="AO31" s="201">
        <v>728.9</v>
      </c>
      <c r="AP31" s="202">
        <v>45.3</v>
      </c>
      <c r="AQ31" s="202">
        <v>10.3</v>
      </c>
      <c r="AR31" s="202">
        <v>113.6</v>
      </c>
      <c r="AS31" s="202">
        <v>161.30000000000001</v>
      </c>
      <c r="AT31" s="202">
        <v>1.6</v>
      </c>
      <c r="AU31" s="202">
        <v>11.7</v>
      </c>
      <c r="AV31" s="202">
        <v>41.7</v>
      </c>
      <c r="AW31" s="202">
        <v>42.5</v>
      </c>
      <c r="AX31" s="202">
        <v>63.3</v>
      </c>
      <c r="AY31" s="202">
        <v>210</v>
      </c>
      <c r="AZ31" s="202">
        <v>15.9</v>
      </c>
      <c r="BA31" s="202">
        <v>11.8</v>
      </c>
      <c r="BC31" s="200">
        <v>39172</v>
      </c>
      <c r="BD31" s="201">
        <v>320.7</v>
      </c>
      <c r="BE31" s="202">
        <v>125.3</v>
      </c>
      <c r="BF31" s="202">
        <v>195.4</v>
      </c>
      <c r="BG31" s="201">
        <v>503.4</v>
      </c>
      <c r="BH31" s="202">
        <v>7.3</v>
      </c>
      <c r="BI31" s="202">
        <v>496.1</v>
      </c>
      <c r="BK31" s="200">
        <v>39172</v>
      </c>
      <c r="BL31" s="201">
        <v>415.6</v>
      </c>
      <c r="BM31" s="202">
        <v>249.8</v>
      </c>
      <c r="BN31" s="201">
        <v>122.5</v>
      </c>
      <c r="BO31" s="202">
        <v>43.4</v>
      </c>
      <c r="BQ31" s="192">
        <v>36707</v>
      </c>
      <c r="BR31" s="193">
        <v>3409.2855122059523</v>
      </c>
      <c r="BS31" s="193">
        <v>350.21140195856606</v>
      </c>
    </row>
    <row r="32" spans="1:71" ht="14.25" customHeight="1">
      <c r="A32" s="21">
        <v>39263</v>
      </c>
      <c r="B32" s="194">
        <v>1872.8386590519699</v>
      </c>
      <c r="C32" s="194">
        <v>2115.9890832623228</v>
      </c>
      <c r="D32" s="194">
        <v>345.81813412539589</v>
      </c>
      <c r="E32" s="194">
        <v>469.65091196684023</v>
      </c>
      <c r="F32" s="194">
        <v>9.3441455994999778</v>
      </c>
      <c r="G32" s="194">
        <v>67.320326494823433</v>
      </c>
      <c r="H32" s="194">
        <v>357.00765312345851</v>
      </c>
      <c r="I32" s="194">
        <v>0</v>
      </c>
      <c r="J32" s="194">
        <v>-93.593519094247824</v>
      </c>
      <c r="K32" s="195">
        <v>-335.85773201262026</v>
      </c>
      <c r="L32" s="194">
        <v>60.006476551730202</v>
      </c>
      <c r="M32" s="194">
        <v>4427.1834549553469</v>
      </c>
      <c r="N32" s="194">
        <v>769.94633808199944</v>
      </c>
      <c r="O32" s="194">
        <v>925.42538698965586</v>
      </c>
      <c r="P32" s="194">
        <v>147.5245036965851</v>
      </c>
      <c r="Q32" s="194">
        <v>883.03298889761447</v>
      </c>
      <c r="R32" s="194">
        <v>508.27601277962742</v>
      </c>
      <c r="S32" s="196">
        <f t="shared" si="0"/>
        <v>-1465.7828953170592</v>
      </c>
      <c r="T32" s="196">
        <f t="shared" si="1"/>
        <v>-2792.8645463316589</v>
      </c>
      <c r="AA32" s="200">
        <v>39263</v>
      </c>
      <c r="AB32" s="201">
        <v>2114.3000000000002</v>
      </c>
      <c r="AC32" s="202">
        <v>88.2</v>
      </c>
      <c r="AD32" s="202">
        <v>19.3</v>
      </c>
      <c r="AE32" s="202">
        <v>320.2</v>
      </c>
      <c r="AF32" s="202">
        <v>1421.2</v>
      </c>
      <c r="AG32" s="202">
        <v>13.5</v>
      </c>
      <c r="AH32" s="202">
        <v>5.9</v>
      </c>
      <c r="AI32" s="202">
        <v>7.9</v>
      </c>
      <c r="AJ32" s="202">
        <v>4.5</v>
      </c>
      <c r="AK32" s="202">
        <v>69.900000000000006</v>
      </c>
      <c r="AL32" s="202">
        <v>155.30000000000001</v>
      </c>
      <c r="AM32" s="202">
        <v>8.6</v>
      </c>
      <c r="AN32" s="202">
        <v>0.1</v>
      </c>
      <c r="AO32" s="201">
        <v>768.5</v>
      </c>
      <c r="AP32" s="202">
        <v>64.599999999999994</v>
      </c>
      <c r="AQ32" s="202">
        <v>14.4</v>
      </c>
      <c r="AR32" s="202">
        <v>136.9</v>
      </c>
      <c r="AS32" s="202">
        <v>171.7</v>
      </c>
      <c r="AT32" s="202">
        <v>2.2000000000000002</v>
      </c>
      <c r="AU32" s="202">
        <v>14.4</v>
      </c>
      <c r="AV32" s="202">
        <v>44.2</v>
      </c>
      <c r="AW32" s="202">
        <v>35.200000000000003</v>
      </c>
      <c r="AX32" s="202">
        <v>64.400000000000006</v>
      </c>
      <c r="AY32" s="202">
        <v>191.7</v>
      </c>
      <c r="AZ32" s="202">
        <v>16.600000000000001</v>
      </c>
      <c r="BA32" s="202">
        <v>12.2</v>
      </c>
      <c r="BC32" s="200">
        <v>39263</v>
      </c>
      <c r="BD32" s="201">
        <v>345.6</v>
      </c>
      <c r="BE32" s="202">
        <v>130.5</v>
      </c>
      <c r="BF32" s="202">
        <v>215.1</v>
      </c>
      <c r="BG32" s="201">
        <v>939.8</v>
      </c>
      <c r="BH32" s="202">
        <v>7.8</v>
      </c>
      <c r="BI32" s="202">
        <v>932</v>
      </c>
      <c r="BK32" s="200">
        <v>39263</v>
      </c>
      <c r="BL32" s="201">
        <v>469.8</v>
      </c>
      <c r="BM32" s="202">
        <v>280.39999999999998</v>
      </c>
      <c r="BN32" s="201">
        <v>147.5</v>
      </c>
      <c r="BO32" s="202">
        <v>47.8</v>
      </c>
      <c r="BQ32" s="192">
        <v>36799</v>
      </c>
      <c r="BR32" s="193">
        <v>3836.4031221433861</v>
      </c>
      <c r="BS32" s="193">
        <v>427.11760993743383</v>
      </c>
    </row>
    <row r="33" spans="1:71" ht="14.25" customHeight="1">
      <c r="A33" s="21">
        <v>39355</v>
      </c>
      <c r="B33" s="194">
        <v>2037.849131005413</v>
      </c>
      <c r="C33" s="194">
        <v>4669.3627069359118</v>
      </c>
      <c r="D33" s="194">
        <v>329.09298745030458</v>
      </c>
      <c r="E33" s="194">
        <v>455.92988828997693</v>
      </c>
      <c r="F33" s="194">
        <v>13.010149499306884</v>
      </c>
      <c r="G33" s="194">
        <v>35.91734594212317</v>
      </c>
      <c r="H33" s="194">
        <v>-85.647045706498858</v>
      </c>
      <c r="I33" s="194">
        <v>0</v>
      </c>
      <c r="J33" s="194">
        <v>967.12834258364785</v>
      </c>
      <c r="K33" s="195">
        <v>-310.46030751967061</v>
      </c>
      <c r="L33" s="194">
        <v>-1537.6740362158293</v>
      </c>
      <c r="M33" s="194">
        <v>4405.6709193565075</v>
      </c>
      <c r="N33" s="194">
        <v>748.88208519689545</v>
      </c>
      <c r="O33" s="194">
        <v>493.63933175553746</v>
      </c>
      <c r="P33" s="194">
        <v>141.35738091663126</v>
      </c>
      <c r="Q33" s="194">
        <v>564.6446172721204</v>
      </c>
      <c r="R33" s="194">
        <v>-135.72739171203142</v>
      </c>
      <c r="S33" s="196">
        <f t="shared" si="0"/>
        <v>1702.6849964560342</v>
      </c>
      <c r="T33" s="196">
        <f t="shared" si="1"/>
        <v>356.04221947902352</v>
      </c>
      <c r="AA33" s="200">
        <v>39355</v>
      </c>
      <c r="AB33" s="201">
        <v>4667.3999999999996</v>
      </c>
      <c r="AC33" s="202">
        <v>71.400000000000006</v>
      </c>
      <c r="AD33" s="202">
        <v>22.6</v>
      </c>
      <c r="AE33" s="202">
        <v>354.5</v>
      </c>
      <c r="AF33" s="202">
        <v>3866.2</v>
      </c>
      <c r="AG33" s="202">
        <v>16.3</v>
      </c>
      <c r="AH33" s="202">
        <v>4.5</v>
      </c>
      <c r="AI33" s="202">
        <v>10.9</v>
      </c>
      <c r="AJ33" s="202">
        <v>7.7</v>
      </c>
      <c r="AK33" s="202">
        <v>119.9</v>
      </c>
      <c r="AL33" s="202">
        <v>169.5</v>
      </c>
      <c r="AM33" s="202">
        <v>23.4</v>
      </c>
      <c r="AN33" s="202">
        <v>0.3</v>
      </c>
      <c r="AO33" s="201">
        <v>747.3</v>
      </c>
      <c r="AP33" s="202">
        <v>31.2</v>
      </c>
      <c r="AQ33" s="202">
        <v>12.3</v>
      </c>
      <c r="AR33" s="202">
        <v>139.80000000000001</v>
      </c>
      <c r="AS33" s="202">
        <v>183.1</v>
      </c>
      <c r="AT33" s="202">
        <v>1.8</v>
      </c>
      <c r="AU33" s="202">
        <v>11.6</v>
      </c>
      <c r="AV33" s="202">
        <v>29.3</v>
      </c>
      <c r="AW33" s="202">
        <v>40.6</v>
      </c>
      <c r="AX33" s="202">
        <v>68.099999999999994</v>
      </c>
      <c r="AY33" s="202">
        <v>198.7</v>
      </c>
      <c r="AZ33" s="202">
        <v>18.7</v>
      </c>
      <c r="BA33" s="202">
        <v>11.9</v>
      </c>
      <c r="BC33" s="200">
        <v>39355</v>
      </c>
      <c r="BD33" s="201">
        <v>329</v>
      </c>
      <c r="BE33" s="202">
        <v>133.30000000000001</v>
      </c>
      <c r="BF33" s="202">
        <v>195.5</v>
      </c>
      <c r="BG33" s="201">
        <v>504.9</v>
      </c>
      <c r="BH33" s="202">
        <v>7.9</v>
      </c>
      <c r="BI33" s="202">
        <v>497</v>
      </c>
      <c r="BK33" s="200">
        <v>39355</v>
      </c>
      <c r="BL33" s="201">
        <v>455.8</v>
      </c>
      <c r="BM33" s="202">
        <v>285.89999999999998</v>
      </c>
      <c r="BN33" s="201">
        <v>141.4</v>
      </c>
      <c r="BO33" s="202">
        <v>56.1</v>
      </c>
      <c r="BQ33" s="192">
        <v>36891</v>
      </c>
      <c r="BR33" s="193">
        <v>3783.2140983222566</v>
      </c>
      <c r="BS33" s="193">
        <v>-53.189023821129467</v>
      </c>
    </row>
    <row r="34" spans="1:71" ht="14.25" customHeight="1">
      <c r="A34" s="21">
        <v>39447</v>
      </c>
      <c r="B34" s="194">
        <v>2071.5126098728529</v>
      </c>
      <c r="C34" s="194">
        <v>1316.2087263197222</v>
      </c>
      <c r="D34" s="194">
        <v>338.20228689702429</v>
      </c>
      <c r="E34" s="194">
        <v>494.68174604467742</v>
      </c>
      <c r="F34" s="194">
        <v>-0.620916679999997</v>
      </c>
      <c r="G34" s="194">
        <v>72.12313368562323</v>
      </c>
      <c r="H34" s="194">
        <v>-146.09074156227877</v>
      </c>
      <c r="I34" s="194">
        <v>0</v>
      </c>
      <c r="J34" s="194">
        <v>-1281.3481738864848</v>
      </c>
      <c r="K34" s="195">
        <v>559.79691599979151</v>
      </c>
      <c r="L34" s="194">
        <v>484.38107514967578</v>
      </c>
      <c r="M34" s="194">
        <v>4542.8325650880361</v>
      </c>
      <c r="N34" s="194">
        <v>852.58149047867312</v>
      </c>
      <c r="O34" s="194">
        <v>404.75910086669489</v>
      </c>
      <c r="P34" s="194">
        <v>186.93651673462637</v>
      </c>
      <c r="Q34" s="194">
        <v>562.54411721057534</v>
      </c>
      <c r="R34" s="194">
        <v>-75.318837409846452</v>
      </c>
      <c r="S34" s="196">
        <f t="shared" si="0"/>
        <v>-1766.5043040337532</v>
      </c>
      <c r="T34" s="196">
        <f t="shared" si="1"/>
        <v>-2565.4882911281552</v>
      </c>
      <c r="AA34" s="200">
        <v>39447</v>
      </c>
      <c r="AB34" s="201">
        <v>1315.6</v>
      </c>
      <c r="AC34" s="202">
        <v>80.5</v>
      </c>
      <c r="AD34" s="202">
        <v>24.4</v>
      </c>
      <c r="AE34" s="202">
        <v>259.8</v>
      </c>
      <c r="AF34" s="202">
        <v>653.9</v>
      </c>
      <c r="AG34" s="202">
        <v>19.399999999999999</v>
      </c>
      <c r="AH34" s="202">
        <v>6.3</v>
      </c>
      <c r="AI34" s="202">
        <v>14.5</v>
      </c>
      <c r="AJ34" s="202">
        <v>9.8000000000000007</v>
      </c>
      <c r="AK34" s="202">
        <v>60.2</v>
      </c>
      <c r="AL34" s="202">
        <v>177.7</v>
      </c>
      <c r="AM34" s="202">
        <v>9.1</v>
      </c>
      <c r="AN34" s="202">
        <v>0</v>
      </c>
      <c r="AO34" s="201">
        <v>850.8</v>
      </c>
      <c r="AP34" s="202">
        <v>57</v>
      </c>
      <c r="AQ34" s="202">
        <v>15.1</v>
      </c>
      <c r="AR34" s="202">
        <v>132.19999999999999</v>
      </c>
      <c r="AS34" s="202">
        <v>201.1</v>
      </c>
      <c r="AT34" s="202">
        <v>3</v>
      </c>
      <c r="AU34" s="202">
        <v>13.6</v>
      </c>
      <c r="AV34" s="202">
        <v>47.4</v>
      </c>
      <c r="AW34" s="202">
        <v>37.5</v>
      </c>
      <c r="AX34" s="202">
        <v>74.599999999999994</v>
      </c>
      <c r="AY34" s="202">
        <v>239.6</v>
      </c>
      <c r="AZ34" s="202">
        <v>17.100000000000001</v>
      </c>
      <c r="BA34" s="202">
        <v>12.4</v>
      </c>
      <c r="BC34" s="200">
        <v>39447</v>
      </c>
      <c r="BD34" s="201">
        <v>338</v>
      </c>
      <c r="BE34" s="202">
        <v>138.5</v>
      </c>
      <c r="BF34" s="202">
        <v>199.6</v>
      </c>
      <c r="BG34" s="201">
        <v>414.8</v>
      </c>
      <c r="BH34" s="202">
        <v>10.5</v>
      </c>
      <c r="BI34" s="202">
        <v>404.3</v>
      </c>
      <c r="BK34" s="200">
        <v>39447</v>
      </c>
      <c r="BL34" s="201">
        <v>494.5</v>
      </c>
      <c r="BM34" s="202">
        <v>281.39999999999998</v>
      </c>
      <c r="BN34" s="201">
        <v>186.8</v>
      </c>
      <c r="BO34" s="202">
        <v>69.599999999999994</v>
      </c>
      <c r="BQ34" s="192">
        <v>36981</v>
      </c>
      <c r="BR34" s="193">
        <v>3990.613900374889</v>
      </c>
      <c r="BS34" s="193">
        <v>207.39980205263237</v>
      </c>
    </row>
    <row r="35" spans="1:71" ht="14.25" customHeight="1">
      <c r="A35" s="21">
        <v>39538</v>
      </c>
      <c r="B35" s="194">
        <v>1732.0410531136972</v>
      </c>
      <c r="C35" s="194">
        <v>1038.6710170138108</v>
      </c>
      <c r="D35" s="194">
        <v>336.54901237248907</v>
      </c>
      <c r="E35" s="194">
        <v>412.38929978553898</v>
      </c>
      <c r="F35" s="194">
        <v>7.4086770099999999</v>
      </c>
      <c r="G35" s="194">
        <v>-104.97805859906214</v>
      </c>
      <c r="H35" s="194">
        <v>-293.49479036808265</v>
      </c>
      <c r="I35" s="194">
        <v>0</v>
      </c>
      <c r="J35" s="194">
        <v>-2065.6888388202251</v>
      </c>
      <c r="K35" s="195">
        <v>695.93103951711885</v>
      </c>
      <c r="L35" s="194">
        <v>-159.97843916334159</v>
      </c>
      <c r="M35" s="194">
        <v>4290.666750792102</v>
      </c>
      <c r="N35" s="194">
        <v>870.05612824882394</v>
      </c>
      <c r="O35" s="194">
        <v>621.06872153835718</v>
      </c>
      <c r="P35" s="194">
        <v>141.66619495242122</v>
      </c>
      <c r="Q35" s="194">
        <v>749.68584836731122</v>
      </c>
      <c r="R35" s="194">
        <v>38.46067876194752</v>
      </c>
      <c r="S35" s="196">
        <f t="shared" si="0"/>
        <v>-2403.8074132461684</v>
      </c>
      <c r="T35" s="196">
        <f t="shared" si="1"/>
        <v>-5112.7543507990204</v>
      </c>
      <c r="AA35" s="200">
        <v>39538</v>
      </c>
      <c r="AB35" s="201">
        <v>1039.2</v>
      </c>
      <c r="AC35" s="202">
        <v>104.7</v>
      </c>
      <c r="AD35" s="202">
        <v>25.9</v>
      </c>
      <c r="AE35" s="202">
        <v>247.1</v>
      </c>
      <c r="AF35" s="202">
        <v>374</v>
      </c>
      <c r="AG35" s="202">
        <v>18.3</v>
      </c>
      <c r="AH35" s="202">
        <v>5.9</v>
      </c>
      <c r="AI35" s="202">
        <v>10.6</v>
      </c>
      <c r="AJ35" s="202">
        <v>6.2</v>
      </c>
      <c r="AK35" s="202">
        <v>55.7</v>
      </c>
      <c r="AL35" s="202">
        <v>174.3</v>
      </c>
      <c r="AM35" s="202">
        <v>16.3</v>
      </c>
      <c r="AN35" s="202">
        <v>0.1</v>
      </c>
      <c r="AO35" s="201">
        <v>870.3</v>
      </c>
      <c r="AP35" s="202">
        <v>61.4</v>
      </c>
      <c r="AQ35" s="202">
        <v>14.7</v>
      </c>
      <c r="AR35" s="202">
        <v>178</v>
      </c>
      <c r="AS35" s="202">
        <v>189</v>
      </c>
      <c r="AT35" s="202">
        <v>2.7</v>
      </c>
      <c r="AU35" s="202">
        <v>12.4</v>
      </c>
      <c r="AV35" s="202">
        <v>31.7</v>
      </c>
      <c r="AW35" s="202">
        <v>52.2</v>
      </c>
      <c r="AX35" s="202">
        <v>71.400000000000006</v>
      </c>
      <c r="AY35" s="202">
        <v>222.9</v>
      </c>
      <c r="AZ35" s="202">
        <v>22</v>
      </c>
      <c r="BA35" s="202">
        <v>11.9</v>
      </c>
      <c r="BC35" s="200">
        <v>39538</v>
      </c>
      <c r="BD35" s="201">
        <v>336.4</v>
      </c>
      <c r="BE35" s="202">
        <v>137.4</v>
      </c>
      <c r="BF35" s="202">
        <v>199</v>
      </c>
      <c r="BG35" s="201">
        <v>640.6</v>
      </c>
      <c r="BH35" s="202">
        <v>7</v>
      </c>
      <c r="BI35" s="202">
        <v>633.6</v>
      </c>
      <c r="BK35" s="200">
        <v>39538</v>
      </c>
      <c r="BL35" s="201">
        <v>412.5</v>
      </c>
      <c r="BM35" s="202">
        <v>246.9</v>
      </c>
      <c r="BN35" s="201">
        <v>141.69999999999999</v>
      </c>
      <c r="BO35" s="202">
        <v>46.8</v>
      </c>
      <c r="BQ35" s="192">
        <v>37072</v>
      </c>
      <c r="BR35" s="193">
        <v>4486.2817419244875</v>
      </c>
      <c r="BS35" s="193">
        <v>495.66784154959851</v>
      </c>
    </row>
    <row r="36" spans="1:71" ht="14.25" customHeight="1">
      <c r="A36" s="21">
        <v>39629</v>
      </c>
      <c r="B36" s="194">
        <v>2018.9557233631997</v>
      </c>
      <c r="C36" s="194">
        <v>2254.7455297812053</v>
      </c>
      <c r="D36" s="194">
        <v>371.58541107716746</v>
      </c>
      <c r="E36" s="194">
        <v>495.52504031189886</v>
      </c>
      <c r="F36" s="194">
        <v>8.3372318556109395</v>
      </c>
      <c r="G36" s="194">
        <v>171.17754354873787</v>
      </c>
      <c r="H36" s="194">
        <v>-63.090277639658808</v>
      </c>
      <c r="I36" s="194">
        <v>0</v>
      </c>
      <c r="J36" s="194">
        <v>-889.92547761544552</v>
      </c>
      <c r="K36" s="195">
        <v>95.761473847593408</v>
      </c>
      <c r="L36" s="194">
        <v>594.45562253019125</v>
      </c>
      <c r="M36" s="194">
        <v>5145.4562663838014</v>
      </c>
      <c r="N36" s="194">
        <v>864.39281648075712</v>
      </c>
      <c r="O36" s="194">
        <v>1132.1955132259734</v>
      </c>
      <c r="P36" s="194">
        <v>154.53846226817575</v>
      </c>
      <c r="Q36" s="194">
        <v>868.04641927938246</v>
      </c>
      <c r="R36" s="194">
        <v>-1.1446576987212467</v>
      </c>
      <c r="S36" s="196">
        <f t="shared" si="0"/>
        <v>-2155.7713538252374</v>
      </c>
      <c r="T36" s="196">
        <f t="shared" si="1"/>
        <v>-3105.9569988788699</v>
      </c>
      <c r="AA36" s="200">
        <v>39629</v>
      </c>
      <c r="AB36" s="201">
        <v>2254.1</v>
      </c>
      <c r="AC36" s="202">
        <v>112.3</v>
      </c>
      <c r="AD36" s="202">
        <v>25.6</v>
      </c>
      <c r="AE36" s="202">
        <v>323.3</v>
      </c>
      <c r="AF36" s="202">
        <v>1466.9</v>
      </c>
      <c r="AG36" s="202">
        <v>23.7</v>
      </c>
      <c r="AH36" s="202">
        <v>5.0999999999999996</v>
      </c>
      <c r="AI36" s="202">
        <v>12.1</v>
      </c>
      <c r="AJ36" s="202">
        <v>8.3000000000000007</v>
      </c>
      <c r="AK36" s="202">
        <v>74.7</v>
      </c>
      <c r="AL36" s="202">
        <v>180.4</v>
      </c>
      <c r="AM36" s="202">
        <v>21.4</v>
      </c>
      <c r="AN36" s="202">
        <v>0.1</v>
      </c>
      <c r="AO36" s="201">
        <v>864.3</v>
      </c>
      <c r="AP36" s="202">
        <v>42.4</v>
      </c>
      <c r="AQ36" s="202">
        <v>13.6</v>
      </c>
      <c r="AR36" s="202">
        <v>216.9</v>
      </c>
      <c r="AS36" s="202">
        <v>163.5</v>
      </c>
      <c r="AT36" s="202">
        <v>1.9</v>
      </c>
      <c r="AU36" s="202">
        <v>12.8</v>
      </c>
      <c r="AV36" s="202">
        <v>51.3</v>
      </c>
      <c r="AW36" s="202">
        <v>38</v>
      </c>
      <c r="AX36" s="202">
        <v>65.900000000000006</v>
      </c>
      <c r="AY36" s="202">
        <v>222.7</v>
      </c>
      <c r="AZ36" s="202">
        <v>23.7</v>
      </c>
      <c r="BA36" s="202">
        <v>11.4</v>
      </c>
      <c r="BC36" s="200">
        <v>39629</v>
      </c>
      <c r="BD36" s="201">
        <v>371.4</v>
      </c>
      <c r="BE36" s="202">
        <v>147.5</v>
      </c>
      <c r="BF36" s="202">
        <v>224.1</v>
      </c>
      <c r="BG36" s="201">
        <v>1154.3</v>
      </c>
      <c r="BH36" s="202">
        <v>9</v>
      </c>
      <c r="BI36" s="202">
        <v>1145.3</v>
      </c>
      <c r="BK36" s="200">
        <v>39629</v>
      </c>
      <c r="BL36" s="201">
        <v>495.5</v>
      </c>
      <c r="BM36" s="202">
        <v>318.10000000000002</v>
      </c>
      <c r="BN36" s="201">
        <v>154.5</v>
      </c>
      <c r="BO36" s="202">
        <v>53.3</v>
      </c>
      <c r="BQ36" s="192">
        <v>37164</v>
      </c>
      <c r="BR36" s="193">
        <v>4819.7213559406928</v>
      </c>
      <c r="BS36" s="193">
        <v>333.43961401620527</v>
      </c>
    </row>
    <row r="37" spans="1:71" ht="14.25" customHeight="1">
      <c r="A37" s="21">
        <v>39721</v>
      </c>
      <c r="B37" s="194">
        <v>2232.425707031799</v>
      </c>
      <c r="C37" s="194">
        <v>4842.4096751538436</v>
      </c>
      <c r="D37" s="194">
        <v>364.47511533147673</v>
      </c>
      <c r="E37" s="194">
        <v>476.88147563898275</v>
      </c>
      <c r="F37" s="194">
        <v>5.8884038071391309</v>
      </c>
      <c r="G37" s="194">
        <v>67.499167754737812</v>
      </c>
      <c r="H37" s="194">
        <v>34.278917278089381</v>
      </c>
      <c r="I37" s="194">
        <v>0</v>
      </c>
      <c r="J37" s="194">
        <v>354.42157037343145</v>
      </c>
      <c r="K37" s="195">
        <v>-383.00667445874035</v>
      </c>
      <c r="L37" s="194">
        <v>-1337.4449025617153</v>
      </c>
      <c r="M37" s="194">
        <v>4890.4794682805077</v>
      </c>
      <c r="N37" s="194">
        <v>971.64239888551378</v>
      </c>
      <c r="O37" s="194">
        <v>591.8584188802638</v>
      </c>
      <c r="P37" s="194">
        <v>160.00046729219815</v>
      </c>
      <c r="Q37" s="194">
        <v>285.01800221791666</v>
      </c>
      <c r="R37" s="194">
        <v>-182.47974233344041</v>
      </c>
      <c r="S37" s="196">
        <f t="shared" si="0"/>
        <v>1302.2112198176183</v>
      </c>
      <c r="T37" s="196">
        <f t="shared" si="1"/>
        <v>-58.690557873916077</v>
      </c>
      <c r="AA37" s="200">
        <v>39721</v>
      </c>
      <c r="AB37" s="201">
        <v>4849.8</v>
      </c>
      <c r="AC37" s="202">
        <v>85.9</v>
      </c>
      <c r="AD37" s="202">
        <v>26.2</v>
      </c>
      <c r="AE37" s="202">
        <v>372.3</v>
      </c>
      <c r="AF37" s="202">
        <v>3941</v>
      </c>
      <c r="AG37" s="202">
        <v>34.799999999999997</v>
      </c>
      <c r="AH37" s="202">
        <v>6.1</v>
      </c>
      <c r="AI37" s="202">
        <v>13.9</v>
      </c>
      <c r="AJ37" s="202">
        <v>7.8</v>
      </c>
      <c r="AK37" s="202">
        <v>120</v>
      </c>
      <c r="AL37" s="202">
        <v>205.8</v>
      </c>
      <c r="AM37" s="202">
        <v>35.200000000000003</v>
      </c>
      <c r="AN37" s="202">
        <v>0.7</v>
      </c>
      <c r="AO37" s="201">
        <v>971.9</v>
      </c>
      <c r="AP37" s="202">
        <v>78.5</v>
      </c>
      <c r="AQ37" s="202">
        <v>14.6</v>
      </c>
      <c r="AR37" s="202">
        <v>218</v>
      </c>
      <c r="AS37" s="202">
        <v>216.4</v>
      </c>
      <c r="AT37" s="202">
        <v>2.1</v>
      </c>
      <c r="AU37" s="202">
        <v>9.3000000000000007</v>
      </c>
      <c r="AV37" s="202">
        <v>47.1</v>
      </c>
      <c r="AW37" s="202">
        <v>48.7</v>
      </c>
      <c r="AX37" s="202">
        <v>79.099999999999994</v>
      </c>
      <c r="AY37" s="202">
        <v>222.2</v>
      </c>
      <c r="AZ37" s="202">
        <v>23.4</v>
      </c>
      <c r="BA37" s="202">
        <v>12.8</v>
      </c>
      <c r="BC37" s="200">
        <v>39721</v>
      </c>
      <c r="BD37" s="201">
        <v>364.2</v>
      </c>
      <c r="BE37" s="202">
        <v>149.1</v>
      </c>
      <c r="BF37" s="202">
        <v>215.1</v>
      </c>
      <c r="BG37" s="201">
        <v>616.20000000000005</v>
      </c>
      <c r="BH37" s="202">
        <v>9</v>
      </c>
      <c r="BI37" s="202">
        <v>607.20000000000005</v>
      </c>
      <c r="BK37" s="200">
        <v>39721</v>
      </c>
      <c r="BL37" s="201">
        <v>476.7</v>
      </c>
      <c r="BM37" s="202">
        <v>267</v>
      </c>
      <c r="BN37" s="201">
        <v>160</v>
      </c>
      <c r="BO37" s="202">
        <v>61.1</v>
      </c>
      <c r="BQ37" s="192">
        <v>37256</v>
      </c>
      <c r="BR37" s="193">
        <v>5333.6162294251099</v>
      </c>
      <c r="BS37" s="193">
        <v>513.89487348441708</v>
      </c>
    </row>
    <row r="38" spans="1:71" ht="14.25" customHeight="1">
      <c r="A38" s="21">
        <v>39813</v>
      </c>
      <c r="B38" s="194">
        <v>1985.7633719391997</v>
      </c>
      <c r="C38" s="194">
        <v>1386.4368354499143</v>
      </c>
      <c r="D38" s="194">
        <v>306.7385537132709</v>
      </c>
      <c r="E38" s="194">
        <v>575.26477135253253</v>
      </c>
      <c r="F38" s="194">
        <v>-3.9043298877558659</v>
      </c>
      <c r="G38" s="194">
        <v>918.26960599303823</v>
      </c>
      <c r="H38" s="194">
        <v>671.17935317703439</v>
      </c>
      <c r="I38" s="194">
        <v>0</v>
      </c>
      <c r="J38" s="194">
        <v>-1339.2340140136389</v>
      </c>
      <c r="K38" s="195">
        <v>-739.08800235258047</v>
      </c>
      <c r="L38" s="194">
        <v>-175.75508122124484</v>
      </c>
      <c r="M38" s="194">
        <v>4417.5815637554033</v>
      </c>
      <c r="N38" s="194">
        <v>940.41261428817847</v>
      </c>
      <c r="O38" s="194">
        <v>465.82170784319754</v>
      </c>
      <c r="P38" s="194">
        <v>220.54062601420549</v>
      </c>
      <c r="Q38" s="194">
        <v>1782.8398065200513</v>
      </c>
      <c r="R38" s="194">
        <v>-301.90047316113049</v>
      </c>
      <c r="S38" s="196">
        <f t="shared" si="0"/>
        <v>-1790.1529794460666</v>
      </c>
      <c r="T38" s="196">
        <f t="shared" si="1"/>
        <v>-3939.6247811101357</v>
      </c>
      <c r="AA38" s="200">
        <v>39813</v>
      </c>
      <c r="AB38" s="201">
        <v>1384.5</v>
      </c>
      <c r="AC38" s="202">
        <v>76.5</v>
      </c>
      <c r="AD38" s="202">
        <v>22.4</v>
      </c>
      <c r="AE38" s="202">
        <v>270.5</v>
      </c>
      <c r="AF38" s="202">
        <v>649.29999999999995</v>
      </c>
      <c r="AG38" s="202">
        <v>29.3</v>
      </c>
      <c r="AH38" s="202">
        <v>5.6</v>
      </c>
      <c r="AI38" s="202">
        <v>11.3</v>
      </c>
      <c r="AJ38" s="202">
        <v>7.5</v>
      </c>
      <c r="AK38" s="202">
        <v>62.3</v>
      </c>
      <c r="AL38" s="202">
        <v>234.8</v>
      </c>
      <c r="AM38" s="202">
        <v>14.4</v>
      </c>
      <c r="AN38" s="202">
        <v>0.4</v>
      </c>
      <c r="AO38" s="201">
        <v>939.5</v>
      </c>
      <c r="AP38" s="202">
        <v>49.1</v>
      </c>
      <c r="AQ38" s="202">
        <v>14.8</v>
      </c>
      <c r="AR38" s="202">
        <v>195.1</v>
      </c>
      <c r="AS38" s="202">
        <v>196.6</v>
      </c>
      <c r="AT38" s="202">
        <v>2.8</v>
      </c>
      <c r="AU38" s="202">
        <v>10.3</v>
      </c>
      <c r="AV38" s="202">
        <v>57.7</v>
      </c>
      <c r="AW38" s="202">
        <v>36.4</v>
      </c>
      <c r="AX38" s="202">
        <v>87.5</v>
      </c>
      <c r="AY38" s="202">
        <v>253.8</v>
      </c>
      <c r="AZ38" s="202">
        <v>21</v>
      </c>
      <c r="BA38" s="202">
        <v>14.6</v>
      </c>
      <c r="BC38" s="200">
        <v>39813</v>
      </c>
      <c r="BD38" s="201">
        <v>306.5</v>
      </c>
      <c r="BE38" s="202">
        <v>165.6</v>
      </c>
      <c r="BF38" s="202">
        <v>140.80000000000001</v>
      </c>
      <c r="BG38" s="201">
        <v>487.8</v>
      </c>
      <c r="BH38" s="202">
        <v>10.6</v>
      </c>
      <c r="BI38" s="202">
        <v>477.2</v>
      </c>
      <c r="BK38" s="200">
        <v>39813</v>
      </c>
      <c r="BL38" s="201">
        <v>574.6</v>
      </c>
      <c r="BM38" s="202">
        <v>272.89999999999998</v>
      </c>
      <c r="BN38" s="201">
        <v>220.3</v>
      </c>
      <c r="BO38" s="202">
        <v>72.599999999999994</v>
      </c>
      <c r="BQ38" s="192">
        <v>37346</v>
      </c>
      <c r="BR38" s="193">
        <v>5606.4414849625764</v>
      </c>
      <c r="BS38" s="193">
        <v>272.82525553746655</v>
      </c>
    </row>
    <row r="39" spans="1:71" ht="14.25" customHeight="1">
      <c r="A39" s="21">
        <v>39903</v>
      </c>
      <c r="B39" s="194">
        <v>1708.4591271692998</v>
      </c>
      <c r="C39" s="194">
        <v>888.63173412973345</v>
      </c>
      <c r="D39" s="194">
        <v>214.10603433565575</v>
      </c>
      <c r="E39" s="194">
        <v>425.70930121925801</v>
      </c>
      <c r="F39" s="194">
        <v>0.60115741688422375</v>
      </c>
      <c r="G39" s="194">
        <v>45.978451095999219</v>
      </c>
      <c r="H39" s="194">
        <v>-236.3975331299487</v>
      </c>
      <c r="I39" s="194">
        <v>0</v>
      </c>
      <c r="J39" s="194">
        <v>-1736.6334650176616</v>
      </c>
      <c r="K39" s="195">
        <v>-410.67743750344664</v>
      </c>
      <c r="L39" s="194">
        <v>-94.416813259207402</v>
      </c>
      <c r="M39" s="194">
        <v>3448.8575178768015</v>
      </c>
      <c r="N39" s="194">
        <v>743.43775237018201</v>
      </c>
      <c r="O39" s="194">
        <v>647.0587628744089</v>
      </c>
      <c r="P39" s="194">
        <v>158.93460418667351</v>
      </c>
      <c r="Q39" s="194">
        <v>217.10507291258529</v>
      </c>
      <c r="R39" s="194">
        <v>-699.63696117120082</v>
      </c>
      <c r="S39" s="196">
        <f t="shared" si="0"/>
        <v>-1761.3824404541192</v>
      </c>
      <c r="T39" s="196">
        <f t="shared" si="1"/>
        <v>-3710.3961925928847</v>
      </c>
      <c r="AA39" s="200">
        <v>39903</v>
      </c>
      <c r="AB39" s="201">
        <v>888.1</v>
      </c>
      <c r="AC39" s="202">
        <v>60</v>
      </c>
      <c r="AD39" s="202">
        <v>20.8</v>
      </c>
      <c r="AE39" s="202">
        <v>210.3</v>
      </c>
      <c r="AF39" s="202">
        <v>305.10000000000002</v>
      </c>
      <c r="AG39" s="202">
        <v>26.3</v>
      </c>
      <c r="AH39" s="202">
        <v>6.2</v>
      </c>
      <c r="AI39" s="202">
        <v>7.7</v>
      </c>
      <c r="AJ39" s="202">
        <v>6.5</v>
      </c>
      <c r="AK39" s="202">
        <v>58.4</v>
      </c>
      <c r="AL39" s="202">
        <v>173</v>
      </c>
      <c r="AM39" s="202">
        <v>13.6</v>
      </c>
      <c r="AN39" s="202">
        <v>0</v>
      </c>
      <c r="AO39" s="201">
        <v>743</v>
      </c>
      <c r="AP39" s="202">
        <v>5.4</v>
      </c>
      <c r="AQ39" s="202">
        <v>12.4</v>
      </c>
      <c r="AR39" s="202">
        <v>159.1</v>
      </c>
      <c r="AS39" s="202">
        <v>128.69999999999999</v>
      </c>
      <c r="AT39" s="202">
        <v>2</v>
      </c>
      <c r="AU39" s="202">
        <v>16.100000000000001</v>
      </c>
      <c r="AV39" s="202">
        <v>62.3</v>
      </c>
      <c r="AW39" s="202">
        <v>39.299999999999997</v>
      </c>
      <c r="AX39" s="202">
        <v>68.5</v>
      </c>
      <c r="AY39" s="202">
        <v>214.5</v>
      </c>
      <c r="AZ39" s="202">
        <v>24.7</v>
      </c>
      <c r="BA39" s="202">
        <v>9.8000000000000007</v>
      </c>
      <c r="BC39" s="200">
        <v>39903</v>
      </c>
      <c r="BD39" s="201">
        <v>214.7</v>
      </c>
      <c r="BE39" s="202">
        <v>155</v>
      </c>
      <c r="BF39" s="202">
        <v>59.6</v>
      </c>
      <c r="BG39" s="201">
        <v>663.4</v>
      </c>
      <c r="BH39" s="202">
        <v>8.9</v>
      </c>
      <c r="BI39" s="202">
        <v>654.5</v>
      </c>
      <c r="BK39" s="200">
        <v>39903</v>
      </c>
      <c r="BL39" s="201">
        <v>425.8</v>
      </c>
      <c r="BM39" s="202">
        <v>215.2</v>
      </c>
      <c r="BN39" s="201">
        <v>158.80000000000001</v>
      </c>
      <c r="BO39" s="202">
        <v>49</v>
      </c>
      <c r="BQ39" s="192">
        <v>37437</v>
      </c>
      <c r="BR39" s="193">
        <v>5631.6566012861604</v>
      </c>
      <c r="BS39" s="193">
        <v>25.21511632358397</v>
      </c>
    </row>
    <row r="40" spans="1:71" ht="14.25" customHeight="1">
      <c r="A40" s="21">
        <v>39994</v>
      </c>
      <c r="B40" s="194">
        <v>1670.4677215592005</v>
      </c>
      <c r="C40" s="194">
        <v>1904.010892323508</v>
      </c>
      <c r="D40" s="194">
        <v>207.67898493542594</v>
      </c>
      <c r="E40" s="194">
        <v>467.74880938206036</v>
      </c>
      <c r="F40" s="194">
        <v>6.702722990780364</v>
      </c>
      <c r="G40" s="194">
        <v>22.783290410499355</v>
      </c>
      <c r="H40" s="194">
        <v>-21.619607329237411</v>
      </c>
      <c r="I40" s="194">
        <v>0</v>
      </c>
      <c r="J40" s="194">
        <v>121.48245022207539</v>
      </c>
      <c r="K40" s="195">
        <v>331.31684989591037</v>
      </c>
      <c r="L40" s="194">
        <v>522.17390218749188</v>
      </c>
      <c r="M40" s="194">
        <v>3696.8439577420968</v>
      </c>
      <c r="N40" s="194">
        <v>816.05643905254385</v>
      </c>
      <c r="O40" s="194">
        <v>748.48643220012138</v>
      </c>
      <c r="P40" s="194">
        <v>153.3448119833472</v>
      </c>
      <c r="Q40" s="194">
        <v>633.51129584683633</v>
      </c>
      <c r="R40" s="194">
        <v>456.40029495205323</v>
      </c>
      <c r="S40" s="196">
        <f t="shared" si="0"/>
        <v>-1164.8252327779146</v>
      </c>
      <c r="T40" s="196">
        <f t="shared" si="1"/>
        <v>-1271.8972151992848</v>
      </c>
      <c r="AA40" s="200">
        <v>39994</v>
      </c>
      <c r="AB40" s="201">
        <v>1902.1</v>
      </c>
      <c r="AC40" s="202">
        <v>65.400000000000006</v>
      </c>
      <c r="AD40" s="202">
        <v>20.5</v>
      </c>
      <c r="AE40" s="202">
        <v>247.5</v>
      </c>
      <c r="AF40" s="202">
        <v>1244.4000000000001</v>
      </c>
      <c r="AG40" s="202">
        <v>29.1</v>
      </c>
      <c r="AH40" s="202">
        <v>5.2</v>
      </c>
      <c r="AI40" s="202">
        <v>13.1</v>
      </c>
      <c r="AJ40" s="202">
        <v>6.4</v>
      </c>
      <c r="AK40" s="202">
        <v>72.900000000000006</v>
      </c>
      <c r="AL40" s="202">
        <v>187.3</v>
      </c>
      <c r="AM40" s="202">
        <v>10.3</v>
      </c>
      <c r="AN40" s="202">
        <v>0</v>
      </c>
      <c r="AO40" s="201">
        <v>816.8</v>
      </c>
      <c r="AP40" s="202">
        <v>3.4</v>
      </c>
      <c r="AQ40" s="202">
        <v>11.4</v>
      </c>
      <c r="AR40" s="202">
        <v>166.7</v>
      </c>
      <c r="AS40" s="202">
        <v>190.4</v>
      </c>
      <c r="AT40" s="202">
        <v>1.9</v>
      </c>
      <c r="AU40" s="202">
        <v>14</v>
      </c>
      <c r="AV40" s="202">
        <v>54.1</v>
      </c>
      <c r="AW40" s="202">
        <v>33.299999999999997</v>
      </c>
      <c r="AX40" s="202">
        <v>66.5</v>
      </c>
      <c r="AY40" s="202">
        <v>244.4</v>
      </c>
      <c r="AZ40" s="202">
        <v>19</v>
      </c>
      <c r="BA40" s="202">
        <v>11.6</v>
      </c>
      <c r="BC40" s="200">
        <v>39994</v>
      </c>
      <c r="BD40" s="201">
        <v>208.2</v>
      </c>
      <c r="BE40" s="202">
        <v>159.1</v>
      </c>
      <c r="BF40" s="202">
        <v>49.1</v>
      </c>
      <c r="BG40" s="201">
        <v>763.7</v>
      </c>
      <c r="BH40" s="202">
        <v>9.8000000000000007</v>
      </c>
      <c r="BI40" s="202">
        <v>753.9</v>
      </c>
      <c r="BK40" s="200">
        <v>39994</v>
      </c>
      <c r="BL40" s="201">
        <v>468</v>
      </c>
      <c r="BM40" s="202">
        <v>258.5</v>
      </c>
      <c r="BN40" s="201">
        <v>153.4</v>
      </c>
      <c r="BO40" s="202">
        <v>55.8</v>
      </c>
      <c r="BQ40" s="192">
        <v>37529</v>
      </c>
      <c r="BR40" s="193">
        <v>5832.3741508610965</v>
      </c>
      <c r="BS40" s="193">
        <v>200.71754957493613</v>
      </c>
    </row>
    <row r="41" spans="1:71" ht="14.25" customHeight="1">
      <c r="A41" s="21">
        <v>40086</v>
      </c>
      <c r="B41" s="194">
        <v>1675.5100911564004</v>
      </c>
      <c r="C41" s="194">
        <v>4144.8374388593638</v>
      </c>
      <c r="D41" s="194">
        <v>211.15480407611216</v>
      </c>
      <c r="E41" s="194">
        <v>447.1135770143693</v>
      </c>
      <c r="F41" s="194">
        <v>8.775278181088197</v>
      </c>
      <c r="G41" s="194">
        <v>739.58767535549896</v>
      </c>
      <c r="H41" s="194">
        <v>241.77422303672262</v>
      </c>
      <c r="I41" s="194">
        <v>0</v>
      </c>
      <c r="J41" s="194">
        <v>-58.095132259001161</v>
      </c>
      <c r="K41" s="195">
        <v>304.60927324788605</v>
      </c>
      <c r="L41" s="194">
        <v>-996.82847552477006</v>
      </c>
      <c r="M41" s="194">
        <v>3519.3381796688991</v>
      </c>
      <c r="N41" s="194">
        <v>852.13786382725766</v>
      </c>
      <c r="O41" s="194">
        <v>511.64485745910235</v>
      </c>
      <c r="P41" s="194">
        <v>162.26664427582807</v>
      </c>
      <c r="Q41" s="194">
        <v>908.4469135846864</v>
      </c>
      <c r="R41" s="194">
        <v>-125.74604273505651</v>
      </c>
      <c r="S41" s="196">
        <f t="shared" si="0"/>
        <v>1433.2283658751576</v>
      </c>
      <c r="T41" s="196">
        <f t="shared" si="1"/>
        <v>890.35033706295144</v>
      </c>
      <c r="AA41" s="200">
        <v>40086</v>
      </c>
      <c r="AB41" s="201">
        <v>4142.8999999999996</v>
      </c>
      <c r="AC41" s="202">
        <v>56.4</v>
      </c>
      <c r="AD41" s="202">
        <v>16.5</v>
      </c>
      <c r="AE41" s="202">
        <v>278.8</v>
      </c>
      <c r="AF41" s="202">
        <v>3428.6</v>
      </c>
      <c r="AG41" s="202">
        <v>24.2</v>
      </c>
      <c r="AH41" s="202">
        <v>5.6</v>
      </c>
      <c r="AI41" s="202">
        <v>9.3000000000000007</v>
      </c>
      <c r="AJ41" s="202">
        <v>6.1</v>
      </c>
      <c r="AK41" s="202">
        <v>114.4</v>
      </c>
      <c r="AL41" s="202">
        <v>175.2</v>
      </c>
      <c r="AM41" s="202">
        <v>27.6</v>
      </c>
      <c r="AN41" s="202">
        <v>0</v>
      </c>
      <c r="AO41" s="201">
        <v>851.5</v>
      </c>
      <c r="AP41" s="202">
        <v>4.9000000000000004</v>
      </c>
      <c r="AQ41" s="202">
        <v>16</v>
      </c>
      <c r="AR41" s="202">
        <v>170.8</v>
      </c>
      <c r="AS41" s="202">
        <v>236</v>
      </c>
      <c r="AT41" s="202">
        <v>0.5</v>
      </c>
      <c r="AU41" s="202">
        <v>10.8</v>
      </c>
      <c r="AV41" s="202">
        <v>60.6</v>
      </c>
      <c r="AW41" s="202">
        <v>36.6</v>
      </c>
      <c r="AX41" s="202">
        <v>73.599999999999994</v>
      </c>
      <c r="AY41" s="202">
        <v>206.6</v>
      </c>
      <c r="AZ41" s="202">
        <v>23.9</v>
      </c>
      <c r="BA41" s="202">
        <v>11.2</v>
      </c>
      <c r="BC41" s="200">
        <v>40086</v>
      </c>
      <c r="BD41" s="201">
        <v>211.1</v>
      </c>
      <c r="BE41" s="202">
        <v>150.9</v>
      </c>
      <c r="BF41" s="202">
        <v>60.2</v>
      </c>
      <c r="BG41" s="201">
        <v>525.9</v>
      </c>
      <c r="BH41" s="202">
        <v>9.3000000000000007</v>
      </c>
      <c r="BI41" s="202">
        <v>516.6</v>
      </c>
      <c r="BK41" s="200">
        <v>40086</v>
      </c>
      <c r="BL41" s="201">
        <v>446.7</v>
      </c>
      <c r="BM41" s="202">
        <v>248.5</v>
      </c>
      <c r="BN41" s="201">
        <v>162.19999999999999</v>
      </c>
      <c r="BO41" s="202">
        <v>54.8</v>
      </c>
      <c r="BQ41" s="192">
        <v>37621</v>
      </c>
      <c r="BR41" s="193">
        <v>5651.3165040286494</v>
      </c>
      <c r="BS41" s="193">
        <v>-181.05764683244706</v>
      </c>
    </row>
    <row r="42" spans="1:71" ht="14.25" customHeight="1">
      <c r="A42" s="21">
        <v>40178</v>
      </c>
      <c r="B42" s="194">
        <v>1539.5356613511992</v>
      </c>
      <c r="C42" s="194">
        <v>1198.6310626748905</v>
      </c>
      <c r="D42" s="194">
        <v>166.1693784343866</v>
      </c>
      <c r="E42" s="194">
        <v>490.3980198869105</v>
      </c>
      <c r="F42" s="194">
        <v>43.552695750163274</v>
      </c>
      <c r="G42" s="194">
        <v>98.567030496099051</v>
      </c>
      <c r="H42" s="194">
        <v>544.76283713916223</v>
      </c>
      <c r="I42" s="194">
        <v>0</v>
      </c>
      <c r="J42" s="194">
        <v>-835.88156506255905</v>
      </c>
      <c r="K42" s="195">
        <v>1002.9724449033681</v>
      </c>
      <c r="L42" s="194">
        <v>459.8261476457418</v>
      </c>
      <c r="M42" s="194">
        <v>3379.8639556504963</v>
      </c>
      <c r="N42" s="194">
        <v>787.16711283331858</v>
      </c>
      <c r="O42" s="194">
        <v>529.60935582757861</v>
      </c>
      <c r="P42" s="194">
        <v>163.93744675428405</v>
      </c>
      <c r="Q42" s="194">
        <v>423.49553195544519</v>
      </c>
      <c r="R42" s="194">
        <v>1349.3901208430109</v>
      </c>
      <c r="S42" s="196">
        <f t="shared" si="0"/>
        <v>-1465.8437487182914</v>
      </c>
      <c r="T42" s="196">
        <f t="shared" si="1"/>
        <v>-1924.9298106447723</v>
      </c>
      <c r="AA42" s="200">
        <v>40178</v>
      </c>
      <c r="AB42" s="201">
        <v>1197.7</v>
      </c>
      <c r="AC42" s="202">
        <v>108.9</v>
      </c>
      <c r="AD42" s="202">
        <v>24.6</v>
      </c>
      <c r="AE42" s="202">
        <v>206</v>
      </c>
      <c r="AF42" s="202">
        <v>549</v>
      </c>
      <c r="AG42" s="202">
        <v>30.5</v>
      </c>
      <c r="AH42" s="202">
        <v>4</v>
      </c>
      <c r="AI42" s="202">
        <v>8.6999999999999993</v>
      </c>
      <c r="AJ42" s="202">
        <v>4.3</v>
      </c>
      <c r="AK42" s="202">
        <v>53.5</v>
      </c>
      <c r="AL42" s="202">
        <v>190.5</v>
      </c>
      <c r="AM42" s="202">
        <v>17.5</v>
      </c>
      <c r="AN42" s="202">
        <v>0.4</v>
      </c>
      <c r="AO42" s="201">
        <v>786.9</v>
      </c>
      <c r="AP42" s="202">
        <v>34.799999999999997</v>
      </c>
      <c r="AQ42" s="202">
        <v>10.199999999999999</v>
      </c>
      <c r="AR42" s="202">
        <v>157.1</v>
      </c>
      <c r="AS42" s="202">
        <v>168.6</v>
      </c>
      <c r="AT42" s="202">
        <v>0.5</v>
      </c>
      <c r="AU42" s="202">
        <v>7.1</v>
      </c>
      <c r="AV42" s="202">
        <v>52.9</v>
      </c>
      <c r="AW42" s="202">
        <v>43.2</v>
      </c>
      <c r="AX42" s="202">
        <v>65.8</v>
      </c>
      <c r="AY42" s="202">
        <v>211</v>
      </c>
      <c r="AZ42" s="202">
        <v>23.2</v>
      </c>
      <c r="BA42" s="202">
        <v>12.2</v>
      </c>
      <c r="BC42" s="200">
        <v>40178</v>
      </c>
      <c r="BD42" s="201">
        <v>166.3</v>
      </c>
      <c r="BE42" s="202">
        <v>159.19999999999999</v>
      </c>
      <c r="BF42" s="202">
        <v>7.1</v>
      </c>
      <c r="BG42" s="201">
        <v>539.1</v>
      </c>
      <c r="BH42" s="202">
        <v>9.6</v>
      </c>
      <c r="BI42" s="202">
        <v>529.4</v>
      </c>
      <c r="BK42" s="200">
        <v>40178</v>
      </c>
      <c r="BL42" s="201">
        <v>490.3</v>
      </c>
      <c r="BM42" s="202">
        <v>278.60000000000002</v>
      </c>
      <c r="BN42" s="201">
        <v>164</v>
      </c>
      <c r="BO42" s="202">
        <v>54</v>
      </c>
      <c r="BQ42" s="192">
        <v>37711</v>
      </c>
      <c r="BR42" s="193">
        <v>5782.2533652654975</v>
      </c>
      <c r="BS42" s="193">
        <v>130.93686123684802</v>
      </c>
    </row>
    <row r="43" spans="1:71" ht="14.25" customHeight="1">
      <c r="A43" s="21">
        <v>40268</v>
      </c>
      <c r="B43" s="194">
        <v>1820.0281450094005</v>
      </c>
      <c r="C43" s="194">
        <v>844.6088520856606</v>
      </c>
      <c r="D43" s="194">
        <v>200.59324305014943</v>
      </c>
      <c r="E43" s="194">
        <v>458.82134609692093</v>
      </c>
      <c r="F43" s="194">
        <v>27.095930365203802</v>
      </c>
      <c r="G43" s="194">
        <v>204.1401588567453</v>
      </c>
      <c r="H43" s="194">
        <v>9.9208564734554727</v>
      </c>
      <c r="I43" s="194">
        <v>61.3550753122</v>
      </c>
      <c r="J43" s="194">
        <v>-381.40339951870811</v>
      </c>
      <c r="K43" s="195">
        <v>-528.1395051165382</v>
      </c>
      <c r="L43" s="194">
        <v>591.68341225472204</v>
      </c>
      <c r="M43" s="194">
        <v>3101.1990974787982</v>
      </c>
      <c r="N43" s="194">
        <v>742.23826318967281</v>
      </c>
      <c r="O43" s="194">
        <v>653.5195069232002</v>
      </c>
      <c r="P43" s="194">
        <v>151.10799896180498</v>
      </c>
      <c r="Q43" s="194">
        <v>839.47224510769797</v>
      </c>
      <c r="R43" s="194">
        <v>-768.36512140912487</v>
      </c>
      <c r="S43" s="196">
        <f t="shared" si="0"/>
        <v>-1324.0132803113452</v>
      </c>
      <c r="T43" s="196">
        <f t="shared" si="1"/>
        <v>-1410.467875382838</v>
      </c>
      <c r="AA43" s="200">
        <v>40268</v>
      </c>
      <c r="AB43" s="201">
        <v>844.5</v>
      </c>
      <c r="AC43" s="202">
        <v>58.1</v>
      </c>
      <c r="AD43" s="202">
        <v>17.600000000000001</v>
      </c>
      <c r="AE43" s="202">
        <v>182.8</v>
      </c>
      <c r="AF43" s="202">
        <v>280.7</v>
      </c>
      <c r="AG43" s="202">
        <v>18.399999999999999</v>
      </c>
      <c r="AH43" s="202">
        <v>5.0999999999999996</v>
      </c>
      <c r="AI43" s="202">
        <v>6.3</v>
      </c>
      <c r="AJ43" s="202">
        <v>4.4000000000000004</v>
      </c>
      <c r="AK43" s="202">
        <v>54.9</v>
      </c>
      <c r="AL43" s="202">
        <v>203</v>
      </c>
      <c r="AM43" s="202">
        <v>12.9</v>
      </c>
      <c r="AN43" s="202">
        <v>0.4</v>
      </c>
      <c r="AO43" s="201">
        <v>742.2</v>
      </c>
      <c r="AP43" s="202">
        <v>7.3</v>
      </c>
      <c r="AQ43" s="202">
        <v>11.3</v>
      </c>
      <c r="AR43" s="202">
        <v>146.9</v>
      </c>
      <c r="AS43" s="202">
        <v>136.69999999999999</v>
      </c>
      <c r="AT43" s="202">
        <v>0.1</v>
      </c>
      <c r="AU43" s="202">
        <v>16.600000000000001</v>
      </c>
      <c r="AV43" s="202">
        <v>42.7</v>
      </c>
      <c r="AW43" s="202">
        <v>44.2</v>
      </c>
      <c r="AX43" s="202">
        <v>70.400000000000006</v>
      </c>
      <c r="AY43" s="202">
        <v>236.9</v>
      </c>
      <c r="AZ43" s="202">
        <v>18.7</v>
      </c>
      <c r="BA43" s="202">
        <v>10.6</v>
      </c>
      <c r="BC43" s="200">
        <v>40268</v>
      </c>
      <c r="BD43" s="201">
        <v>200.6</v>
      </c>
      <c r="BE43" s="202">
        <v>151</v>
      </c>
      <c r="BF43" s="202">
        <v>49.7</v>
      </c>
      <c r="BG43" s="201">
        <v>660.5</v>
      </c>
      <c r="BH43" s="202">
        <v>8.1999999999999993</v>
      </c>
      <c r="BI43" s="202">
        <v>652.20000000000005</v>
      </c>
      <c r="BK43" s="200">
        <v>40268</v>
      </c>
      <c r="BL43" s="201">
        <v>458.8</v>
      </c>
      <c r="BM43" s="202">
        <v>259.2</v>
      </c>
      <c r="BN43" s="201">
        <v>151.1</v>
      </c>
      <c r="BO43" s="202">
        <v>47.4</v>
      </c>
      <c r="BQ43" s="192">
        <v>37802</v>
      </c>
      <c r="BR43" s="193">
        <v>5929.0765750052888</v>
      </c>
      <c r="BS43" s="193">
        <v>146.82320973979131</v>
      </c>
    </row>
    <row r="44" spans="1:71" ht="14.25" customHeight="1">
      <c r="A44" s="21">
        <v>40359</v>
      </c>
      <c r="B44" s="194">
        <v>2028.6441106384009</v>
      </c>
      <c r="C44" s="194">
        <v>1883.8802976558604</v>
      </c>
      <c r="D44" s="194">
        <v>271.16962710577616</v>
      </c>
      <c r="E44" s="194">
        <v>505.42905210299443</v>
      </c>
      <c r="F44" s="194">
        <v>22.619281858561727</v>
      </c>
      <c r="G44" s="194">
        <v>200.13881386004547</v>
      </c>
      <c r="H44" s="194">
        <v>-10.414446352622548</v>
      </c>
      <c r="I44" s="194">
        <v>72.555467934000006</v>
      </c>
      <c r="J44" s="194">
        <v>292.19839244202359</v>
      </c>
      <c r="K44" s="195">
        <v>73.09430872030552</v>
      </c>
      <c r="L44" s="194">
        <v>546.66762023862498</v>
      </c>
      <c r="M44" s="194">
        <v>3522.6579714792019</v>
      </c>
      <c r="N44" s="194">
        <v>748.78028183879735</v>
      </c>
      <c r="O44" s="194">
        <v>564.55982700730806</v>
      </c>
      <c r="P44" s="194">
        <v>169.29984175604574</v>
      </c>
      <c r="Q44" s="194">
        <v>153.8215423645986</v>
      </c>
      <c r="R44" s="194">
        <v>220.63892672028777</v>
      </c>
      <c r="S44" s="196">
        <f t="shared" si="0"/>
        <v>-316.17483457832168</v>
      </c>
      <c r="T44" s="196">
        <f t="shared" si="1"/>
        <v>506.22413503773078</v>
      </c>
      <c r="AA44" s="200">
        <v>40359</v>
      </c>
      <c r="AB44" s="201">
        <v>1882.9</v>
      </c>
      <c r="AC44" s="202">
        <v>68.2</v>
      </c>
      <c r="AD44" s="202">
        <v>23.2</v>
      </c>
      <c r="AE44" s="202">
        <v>267</v>
      </c>
      <c r="AF44" s="202">
        <v>1175.4000000000001</v>
      </c>
      <c r="AG44" s="202">
        <v>35.9</v>
      </c>
      <c r="AH44" s="202">
        <v>5.7</v>
      </c>
      <c r="AI44" s="202">
        <v>7.3</v>
      </c>
      <c r="AJ44" s="202">
        <v>7.9</v>
      </c>
      <c r="AK44" s="202">
        <v>74.099999999999994</v>
      </c>
      <c r="AL44" s="202">
        <v>206.3</v>
      </c>
      <c r="AM44" s="202">
        <v>12.1</v>
      </c>
      <c r="AN44" s="202">
        <v>0</v>
      </c>
      <c r="AO44" s="201">
        <v>748.8</v>
      </c>
      <c r="AP44" s="202">
        <v>26.5</v>
      </c>
      <c r="AQ44" s="202">
        <v>7</v>
      </c>
      <c r="AR44" s="202">
        <v>176.5</v>
      </c>
      <c r="AS44" s="202">
        <v>158.9</v>
      </c>
      <c r="AT44" s="202">
        <v>0.4</v>
      </c>
      <c r="AU44" s="202">
        <v>14.6</v>
      </c>
      <c r="AV44" s="202">
        <v>50.8</v>
      </c>
      <c r="AW44" s="202">
        <v>33.799999999999997</v>
      </c>
      <c r="AX44" s="202">
        <v>65.400000000000006</v>
      </c>
      <c r="AY44" s="202">
        <v>182.4</v>
      </c>
      <c r="AZ44" s="202">
        <v>19.600000000000001</v>
      </c>
      <c r="BA44" s="202">
        <v>12.7</v>
      </c>
      <c r="BC44" s="200">
        <v>40359</v>
      </c>
      <c r="BD44" s="201">
        <v>271.10000000000002</v>
      </c>
      <c r="BE44" s="202">
        <v>164.3</v>
      </c>
      <c r="BF44" s="202">
        <v>106.8</v>
      </c>
      <c r="BG44" s="201">
        <v>567.9</v>
      </c>
      <c r="BH44" s="202">
        <v>9.1999999999999993</v>
      </c>
      <c r="BI44" s="202">
        <v>558.70000000000005</v>
      </c>
      <c r="BK44" s="200">
        <v>40359</v>
      </c>
      <c r="BL44" s="201">
        <v>505.3</v>
      </c>
      <c r="BM44" s="202">
        <v>275.7</v>
      </c>
      <c r="BN44" s="201">
        <v>169.3</v>
      </c>
      <c r="BO44" s="202">
        <v>53.4</v>
      </c>
      <c r="BQ44" s="192">
        <v>37894</v>
      </c>
      <c r="BR44" s="193">
        <v>6181.3869569868803</v>
      </c>
      <c r="BS44" s="193">
        <v>252.31038198159149</v>
      </c>
    </row>
    <row r="45" spans="1:71" ht="14.25" customHeight="1">
      <c r="A45" s="21">
        <v>40451</v>
      </c>
      <c r="B45" s="194">
        <v>1979.6176507081998</v>
      </c>
      <c r="C45" s="194">
        <v>4385.1159599884613</v>
      </c>
      <c r="D45" s="194">
        <v>227.25892023512301</v>
      </c>
      <c r="E45" s="194">
        <v>461.76984912527388</v>
      </c>
      <c r="F45" s="194">
        <v>18.806814356129184</v>
      </c>
      <c r="G45" s="194">
        <v>76.38775960004547</v>
      </c>
      <c r="H45" s="194">
        <v>80.996611233089652</v>
      </c>
      <c r="I45" s="194">
        <v>73.981913976800001</v>
      </c>
      <c r="J45" s="194">
        <v>1109.6881466083878</v>
      </c>
      <c r="K45" s="195">
        <v>1136.4131879717636</v>
      </c>
      <c r="L45" s="194">
        <v>-873.7232653032155</v>
      </c>
      <c r="M45" s="194">
        <v>3691.4330761264978</v>
      </c>
      <c r="N45" s="194">
        <v>808.69496852420878</v>
      </c>
      <c r="O45" s="194">
        <v>733.53051721091856</v>
      </c>
      <c r="P45" s="194">
        <v>146.69647679501978</v>
      </c>
      <c r="Q45" s="194">
        <v>424.05680180439845</v>
      </c>
      <c r="R45" s="194">
        <v>1234.9199271323614</v>
      </c>
      <c r="S45" s="196">
        <f t="shared" si="0"/>
        <v>1673.4073414004142</v>
      </c>
      <c r="T45" s="196">
        <f t="shared" si="1"/>
        <v>1636.9817809066562</v>
      </c>
      <c r="AA45" s="200">
        <v>40451</v>
      </c>
      <c r="AB45" s="201">
        <v>4377.8999999999996</v>
      </c>
      <c r="AC45" s="202">
        <v>56.8</v>
      </c>
      <c r="AD45" s="202">
        <v>19.600000000000001</v>
      </c>
      <c r="AE45" s="202">
        <v>317.5</v>
      </c>
      <c r="AF45" s="202">
        <v>3578.1</v>
      </c>
      <c r="AG45" s="202">
        <v>30.9</v>
      </c>
      <c r="AH45" s="202">
        <v>6.3</v>
      </c>
      <c r="AI45" s="202">
        <v>7.6</v>
      </c>
      <c r="AJ45" s="202">
        <v>7.7</v>
      </c>
      <c r="AK45" s="202">
        <v>111.5</v>
      </c>
      <c r="AL45" s="202">
        <v>212.9</v>
      </c>
      <c r="AM45" s="202">
        <v>29</v>
      </c>
      <c r="AN45" s="202">
        <v>0</v>
      </c>
      <c r="AO45" s="201">
        <v>807.9</v>
      </c>
      <c r="AP45" s="202">
        <v>23.4</v>
      </c>
      <c r="AQ45" s="202">
        <v>8</v>
      </c>
      <c r="AR45" s="202">
        <v>182.5</v>
      </c>
      <c r="AS45" s="202">
        <v>177</v>
      </c>
      <c r="AT45" s="202">
        <v>1.8</v>
      </c>
      <c r="AU45" s="202">
        <v>10.1</v>
      </c>
      <c r="AV45" s="202">
        <v>46.9</v>
      </c>
      <c r="AW45" s="202">
        <v>42.9</v>
      </c>
      <c r="AX45" s="202">
        <v>68.5</v>
      </c>
      <c r="AY45" s="202">
        <v>209.8</v>
      </c>
      <c r="AZ45" s="202">
        <v>26.2</v>
      </c>
      <c r="BA45" s="202">
        <v>10.6</v>
      </c>
      <c r="BC45" s="200">
        <v>40451</v>
      </c>
      <c r="BD45" s="201">
        <v>227.5</v>
      </c>
      <c r="BE45" s="202">
        <v>167.8</v>
      </c>
      <c r="BF45" s="202">
        <v>59.7</v>
      </c>
      <c r="BG45" s="201">
        <v>739.7</v>
      </c>
      <c r="BH45" s="202">
        <v>9.4</v>
      </c>
      <c r="BI45" s="202">
        <v>730.4</v>
      </c>
      <c r="BK45" s="200">
        <v>40451</v>
      </c>
      <c r="BL45" s="201">
        <v>461.6</v>
      </c>
      <c r="BM45" s="202">
        <v>258.60000000000002</v>
      </c>
      <c r="BN45" s="201">
        <v>146.6</v>
      </c>
      <c r="BO45" s="202">
        <v>55.1</v>
      </c>
      <c r="BQ45" s="192">
        <v>37986</v>
      </c>
      <c r="BR45" s="193">
        <v>6554.0969541588647</v>
      </c>
      <c r="BS45" s="193">
        <v>372.70999717198447</v>
      </c>
    </row>
    <row r="46" spans="1:71" ht="14.25" customHeight="1">
      <c r="A46" s="21">
        <v>40543</v>
      </c>
      <c r="B46" s="194">
        <v>2229.5997414475014</v>
      </c>
      <c r="C46" s="194">
        <v>1180.2308559070532</v>
      </c>
      <c r="D46" s="194">
        <v>209.77681117908594</v>
      </c>
      <c r="E46" s="194">
        <v>492.16149007375793</v>
      </c>
      <c r="F46" s="194">
        <v>175.28793569498487</v>
      </c>
      <c r="G46" s="194">
        <v>-137.04668707975549</v>
      </c>
      <c r="H46" s="194">
        <v>-80.80310925694414</v>
      </c>
      <c r="I46" s="194">
        <v>44.647784587799997</v>
      </c>
      <c r="J46" s="194">
        <v>-730.80315741951574</v>
      </c>
      <c r="K46" s="195">
        <v>-574.57801081495995</v>
      </c>
      <c r="L46" s="194">
        <v>-359.54322279677081</v>
      </c>
      <c r="M46" s="194">
        <v>3666.1832798684013</v>
      </c>
      <c r="N46" s="194">
        <v>805.721360224774</v>
      </c>
      <c r="O46" s="194">
        <v>473.26889565676106</v>
      </c>
      <c r="P46" s="194">
        <v>173.32993993693736</v>
      </c>
      <c r="Q46" s="194">
        <v>-263.66131537390152</v>
      </c>
      <c r="R46" s="194">
        <v>-23.932000428212532</v>
      </c>
      <c r="S46" s="196">
        <f t="shared" si="0"/>
        <v>-1006.7345770794745</v>
      </c>
      <c r="T46" s="196">
        <f t="shared" si="1"/>
        <v>-2381.9797283625207</v>
      </c>
      <c r="AA46" s="200">
        <v>40543</v>
      </c>
      <c r="AB46" s="201">
        <v>1178.5999999999999</v>
      </c>
      <c r="AC46" s="202">
        <v>60.3</v>
      </c>
      <c r="AD46" s="202">
        <v>19.5</v>
      </c>
      <c r="AE46" s="202">
        <v>231.3</v>
      </c>
      <c r="AF46" s="202">
        <v>533.20000000000005</v>
      </c>
      <c r="AG46" s="202">
        <v>34.1</v>
      </c>
      <c r="AH46" s="202">
        <v>6.7</v>
      </c>
      <c r="AI46" s="202">
        <v>9.5</v>
      </c>
      <c r="AJ46" s="202">
        <v>4.0999999999999996</v>
      </c>
      <c r="AK46" s="202">
        <v>56.9</v>
      </c>
      <c r="AL46" s="202">
        <v>209.3</v>
      </c>
      <c r="AM46" s="202">
        <v>13.8</v>
      </c>
      <c r="AN46" s="202">
        <v>0</v>
      </c>
      <c r="AO46" s="201">
        <v>805.2</v>
      </c>
      <c r="AP46" s="202">
        <v>27.4</v>
      </c>
      <c r="AQ46" s="202">
        <v>9.1999999999999993</v>
      </c>
      <c r="AR46" s="202">
        <v>176.4</v>
      </c>
      <c r="AS46" s="202">
        <v>156.1</v>
      </c>
      <c r="AT46" s="202">
        <v>1.9</v>
      </c>
      <c r="AU46" s="202">
        <v>11.1</v>
      </c>
      <c r="AV46" s="202">
        <v>68.3</v>
      </c>
      <c r="AW46" s="202">
        <v>47.9</v>
      </c>
      <c r="AX46" s="202">
        <v>69.400000000000006</v>
      </c>
      <c r="AY46" s="202">
        <v>204.4</v>
      </c>
      <c r="AZ46" s="202">
        <v>19</v>
      </c>
      <c r="BA46" s="202">
        <v>14.1</v>
      </c>
      <c r="BC46" s="200">
        <v>40543</v>
      </c>
      <c r="BD46" s="201">
        <v>209.8</v>
      </c>
      <c r="BE46" s="202">
        <v>173.9</v>
      </c>
      <c r="BF46" s="202">
        <v>36</v>
      </c>
      <c r="BG46" s="201">
        <v>476.1</v>
      </c>
      <c r="BH46" s="202">
        <v>9.4</v>
      </c>
      <c r="BI46" s="202">
        <v>466.9</v>
      </c>
      <c r="BK46" s="200">
        <v>40543</v>
      </c>
      <c r="BL46" s="201">
        <v>491.8</v>
      </c>
      <c r="BM46" s="202">
        <v>273.60000000000002</v>
      </c>
      <c r="BN46" s="201">
        <v>173.3</v>
      </c>
      <c r="BO46" s="202">
        <v>58.9</v>
      </c>
      <c r="BQ46" s="192">
        <v>38077</v>
      </c>
      <c r="BR46" s="193">
        <v>6178.5145138096386</v>
      </c>
      <c r="BS46" s="193">
        <v>-375.58244034922609</v>
      </c>
    </row>
    <row r="47" spans="1:71" ht="14.25" customHeight="1">
      <c r="A47" s="21">
        <v>40633</v>
      </c>
      <c r="B47" s="194">
        <v>1996.4034772348994</v>
      </c>
      <c r="C47" s="194">
        <v>846.58784991099992</v>
      </c>
      <c r="D47" s="194">
        <v>211.1112227299601</v>
      </c>
      <c r="E47" s="194">
        <v>484.43049450229984</v>
      </c>
      <c r="F47" s="194">
        <v>8.1644432517999981</v>
      </c>
      <c r="G47" s="194">
        <v>83.492429240283258</v>
      </c>
      <c r="H47" s="194">
        <v>-82.239145230271077</v>
      </c>
      <c r="I47" s="194">
        <v>8.5079362190000083</v>
      </c>
      <c r="J47" s="194">
        <v>-1760.824870955807</v>
      </c>
      <c r="K47" s="195">
        <v>913.97549201153981</v>
      </c>
      <c r="L47" s="194">
        <v>153.56369197765798</v>
      </c>
      <c r="M47" s="194">
        <v>3550.8394170396041</v>
      </c>
      <c r="N47" s="194">
        <v>712.79012781029996</v>
      </c>
      <c r="O47" s="194">
        <v>653.86802970035978</v>
      </c>
      <c r="P47" s="194">
        <v>156.88878930499999</v>
      </c>
      <c r="Q47" s="194">
        <v>220.19945736118524</v>
      </c>
      <c r="R47" s="194">
        <v>316.83756817120582</v>
      </c>
      <c r="S47" s="196">
        <f t="shared" si="0"/>
        <v>-1535.8533194771039</v>
      </c>
      <c r="T47" s="196">
        <f t="shared" si="1"/>
        <v>-2748.2503684952922</v>
      </c>
      <c r="AA47" s="200">
        <v>40633</v>
      </c>
      <c r="AB47" s="201">
        <v>846.3</v>
      </c>
      <c r="AC47" s="202">
        <v>63.6</v>
      </c>
      <c r="AD47" s="202">
        <v>32.4</v>
      </c>
      <c r="AE47" s="202">
        <v>191.7</v>
      </c>
      <c r="AF47" s="202">
        <v>268.3</v>
      </c>
      <c r="AG47" s="202">
        <v>14.5</v>
      </c>
      <c r="AH47" s="202">
        <v>5.3</v>
      </c>
      <c r="AI47" s="202">
        <v>4.5</v>
      </c>
      <c r="AJ47" s="202">
        <v>4.0999999999999996</v>
      </c>
      <c r="AK47" s="202">
        <v>69.7</v>
      </c>
      <c r="AL47" s="202">
        <v>175</v>
      </c>
      <c r="AM47" s="202">
        <v>17.600000000000001</v>
      </c>
      <c r="AN47" s="202">
        <v>0</v>
      </c>
      <c r="AO47" s="201">
        <v>712.7</v>
      </c>
      <c r="AP47" s="202">
        <v>7</v>
      </c>
      <c r="AQ47" s="202">
        <v>11.9</v>
      </c>
      <c r="AR47" s="202">
        <v>159.69999999999999</v>
      </c>
      <c r="AS47" s="202">
        <v>131.19999999999999</v>
      </c>
      <c r="AT47" s="202">
        <v>15.3</v>
      </c>
      <c r="AU47" s="202">
        <v>19.7</v>
      </c>
      <c r="AV47" s="202">
        <v>66.3</v>
      </c>
      <c r="AW47" s="202">
        <v>44.4</v>
      </c>
      <c r="AX47" s="202">
        <v>77.3</v>
      </c>
      <c r="AY47" s="202">
        <v>151.69999999999999</v>
      </c>
      <c r="AZ47" s="202">
        <v>19.5</v>
      </c>
      <c r="BA47" s="202">
        <v>8.6</v>
      </c>
      <c r="BC47" s="200">
        <v>40633</v>
      </c>
      <c r="BD47" s="201">
        <v>211.2</v>
      </c>
      <c r="BE47" s="202">
        <v>157.5</v>
      </c>
      <c r="BF47" s="202">
        <v>53.6</v>
      </c>
      <c r="BG47" s="201">
        <v>662</v>
      </c>
      <c r="BH47" s="202">
        <v>9.1999999999999993</v>
      </c>
      <c r="BI47" s="202">
        <v>652.79999999999995</v>
      </c>
      <c r="BK47" s="200">
        <v>40633</v>
      </c>
      <c r="BL47" s="201">
        <v>484.3</v>
      </c>
      <c r="BM47" s="202">
        <v>281</v>
      </c>
      <c r="BN47" s="201">
        <v>156.9</v>
      </c>
      <c r="BO47" s="202">
        <v>60</v>
      </c>
      <c r="BQ47" s="192">
        <v>38168</v>
      </c>
      <c r="BR47" s="193">
        <v>6389.4517639200976</v>
      </c>
      <c r="BS47" s="193">
        <v>210.93725011045899</v>
      </c>
    </row>
    <row r="48" spans="1:71" ht="14.25" customHeight="1">
      <c r="A48" s="21">
        <v>40724</v>
      </c>
      <c r="B48" s="194">
        <v>2250.9879693417988</v>
      </c>
      <c r="C48" s="194">
        <v>1956.9662022111993</v>
      </c>
      <c r="D48" s="194">
        <v>262.47741195094807</v>
      </c>
      <c r="E48" s="194">
        <v>520.36944863029998</v>
      </c>
      <c r="F48" s="194">
        <v>16.443796193599997</v>
      </c>
      <c r="G48" s="194">
        <v>-9.5647162840166153</v>
      </c>
      <c r="H48" s="194">
        <v>159.0929160247949</v>
      </c>
      <c r="I48" s="194">
        <v>47.667911528699989</v>
      </c>
      <c r="J48" s="194">
        <v>-597.70350925488253</v>
      </c>
      <c r="K48" s="195">
        <v>48.328615217684025</v>
      </c>
      <c r="L48" s="194">
        <v>490.80598208042699</v>
      </c>
      <c r="M48" s="194">
        <v>3902.9371388121963</v>
      </c>
      <c r="N48" s="194">
        <v>784.94601025379984</v>
      </c>
      <c r="O48" s="194">
        <v>714.4119778392826</v>
      </c>
      <c r="P48" s="194">
        <v>145.18742796240002</v>
      </c>
      <c r="Q48" s="194">
        <v>137.34839678298596</v>
      </c>
      <c r="R48" s="194">
        <v>-440.09543509130066</v>
      </c>
      <c r="S48" s="196">
        <f t="shared" si="0"/>
        <v>-556.68152273343185</v>
      </c>
      <c r="T48" s="196">
        <f t="shared" si="1"/>
        <v>-98.863488918809708</v>
      </c>
      <c r="AA48" s="200">
        <v>40724</v>
      </c>
      <c r="AB48" s="201">
        <v>1957.3</v>
      </c>
      <c r="AC48" s="202">
        <v>69.3</v>
      </c>
      <c r="AD48" s="202">
        <v>28.5</v>
      </c>
      <c r="AE48" s="202">
        <v>261.5</v>
      </c>
      <c r="AF48" s="202">
        <v>1267.7</v>
      </c>
      <c r="AG48" s="202">
        <v>19.7</v>
      </c>
      <c r="AH48" s="202">
        <v>6.4</v>
      </c>
      <c r="AI48" s="202">
        <v>8.8000000000000007</v>
      </c>
      <c r="AJ48" s="202">
        <v>4.0999999999999996</v>
      </c>
      <c r="AK48" s="202">
        <v>79.8</v>
      </c>
      <c r="AL48" s="202">
        <v>202.8</v>
      </c>
      <c r="AM48" s="202">
        <v>8.8000000000000007</v>
      </c>
      <c r="AN48" s="202">
        <v>0</v>
      </c>
      <c r="AO48" s="201">
        <v>784.5</v>
      </c>
      <c r="AP48" s="202">
        <v>38.1</v>
      </c>
      <c r="AQ48" s="202">
        <v>14.9</v>
      </c>
      <c r="AR48" s="202">
        <v>188.1</v>
      </c>
      <c r="AS48" s="202">
        <v>153.80000000000001</v>
      </c>
      <c r="AT48" s="202">
        <v>16.100000000000001</v>
      </c>
      <c r="AU48" s="202">
        <v>11.4</v>
      </c>
      <c r="AV48" s="202">
        <v>70.5</v>
      </c>
      <c r="AW48" s="202">
        <v>42.7</v>
      </c>
      <c r="AX48" s="202">
        <v>66.8</v>
      </c>
      <c r="AY48" s="202">
        <v>158.5</v>
      </c>
      <c r="AZ48" s="202">
        <v>14.7</v>
      </c>
      <c r="BA48" s="202">
        <v>8.5</v>
      </c>
      <c r="BC48" s="200">
        <v>40724</v>
      </c>
      <c r="BD48" s="201">
        <v>262.5</v>
      </c>
      <c r="BE48" s="202">
        <v>172.9</v>
      </c>
      <c r="BF48" s="202">
        <v>89.7</v>
      </c>
      <c r="BG48" s="201">
        <v>718</v>
      </c>
      <c r="BH48" s="202">
        <v>9.1999999999999993</v>
      </c>
      <c r="BI48" s="202">
        <v>708.8</v>
      </c>
      <c r="BK48" s="200">
        <v>40724</v>
      </c>
      <c r="BL48" s="201">
        <v>520.1</v>
      </c>
      <c r="BM48" s="202">
        <v>317.2</v>
      </c>
      <c r="BN48" s="201">
        <v>145.1</v>
      </c>
      <c r="BO48" s="202">
        <v>53</v>
      </c>
      <c r="BQ48" s="192">
        <v>38260</v>
      </c>
      <c r="BR48" s="193">
        <v>6451.8324562151483</v>
      </c>
      <c r="BS48" s="193">
        <v>62.380692295050721</v>
      </c>
    </row>
    <row r="49" spans="1:71" ht="14.25" customHeight="1">
      <c r="A49" s="21">
        <v>40816</v>
      </c>
      <c r="B49" s="194">
        <v>2304.1394318570001</v>
      </c>
      <c r="C49" s="194">
        <v>4591.1734335350002</v>
      </c>
      <c r="D49" s="194">
        <v>259.04491822420971</v>
      </c>
      <c r="E49" s="194">
        <v>513.02443564169994</v>
      </c>
      <c r="F49" s="194">
        <v>9.1683245828999986</v>
      </c>
      <c r="G49" s="194">
        <v>-145.93409144181663</v>
      </c>
      <c r="H49" s="194">
        <v>-415.14708546627037</v>
      </c>
      <c r="I49" s="194">
        <v>92.07763539820003</v>
      </c>
      <c r="J49" s="194">
        <v>2555.2605210617321</v>
      </c>
      <c r="K49" s="195">
        <v>-234.14963965682833</v>
      </c>
      <c r="L49" s="194">
        <v>-966.40296912259191</v>
      </c>
      <c r="M49" s="194">
        <v>3958.0263373768967</v>
      </c>
      <c r="N49" s="194">
        <v>755.2231972077002</v>
      </c>
      <c r="O49" s="194">
        <v>642.10654669843916</v>
      </c>
      <c r="P49" s="194">
        <v>150.0574991798</v>
      </c>
      <c r="Q49" s="194">
        <v>382.14576070838541</v>
      </c>
      <c r="R49" s="194">
        <v>265.22758493124962</v>
      </c>
      <c r="S49" s="196">
        <f t="shared" si="0"/>
        <v>2161.9686387950742</v>
      </c>
      <c r="T49" s="196">
        <f t="shared" si="1"/>
        <v>2409.4679885107635</v>
      </c>
      <c r="AA49" s="200">
        <v>40816</v>
      </c>
      <c r="AB49" s="201">
        <v>4582.7</v>
      </c>
      <c r="AC49" s="202">
        <v>56.3</v>
      </c>
      <c r="AD49" s="202">
        <v>29.9</v>
      </c>
      <c r="AE49" s="202">
        <v>307.8</v>
      </c>
      <c r="AF49" s="202">
        <v>3797.6</v>
      </c>
      <c r="AG49" s="202">
        <v>23.9</v>
      </c>
      <c r="AH49" s="202">
        <v>5.8</v>
      </c>
      <c r="AI49" s="202">
        <v>14.7</v>
      </c>
      <c r="AJ49" s="202">
        <v>4.3</v>
      </c>
      <c r="AK49" s="202">
        <v>125</v>
      </c>
      <c r="AL49" s="202">
        <v>202.9</v>
      </c>
      <c r="AM49" s="202">
        <v>14.6</v>
      </c>
      <c r="AN49" s="202">
        <v>0</v>
      </c>
      <c r="AO49" s="201">
        <v>754.3</v>
      </c>
      <c r="AP49" s="202">
        <v>5.9</v>
      </c>
      <c r="AQ49" s="202">
        <v>16.2</v>
      </c>
      <c r="AR49" s="202">
        <v>181.6</v>
      </c>
      <c r="AS49" s="202">
        <v>178.6</v>
      </c>
      <c r="AT49" s="202">
        <v>14.2</v>
      </c>
      <c r="AU49" s="202">
        <v>8.8000000000000007</v>
      </c>
      <c r="AV49" s="202">
        <v>32.6</v>
      </c>
      <c r="AW49" s="202">
        <v>48.8</v>
      </c>
      <c r="AX49" s="202">
        <v>76.099999999999994</v>
      </c>
      <c r="AY49" s="202">
        <v>162</v>
      </c>
      <c r="AZ49" s="202">
        <v>20.9</v>
      </c>
      <c r="BA49" s="202">
        <v>8.6999999999999993</v>
      </c>
      <c r="BC49" s="200">
        <v>40816</v>
      </c>
      <c r="BD49" s="201">
        <v>258.89999999999998</v>
      </c>
      <c r="BE49" s="202">
        <v>170</v>
      </c>
      <c r="BF49" s="202">
        <v>88.8</v>
      </c>
      <c r="BG49" s="201">
        <v>646.4</v>
      </c>
      <c r="BH49" s="202">
        <v>9.8000000000000007</v>
      </c>
      <c r="BI49" s="202">
        <v>636.5</v>
      </c>
      <c r="BK49" s="200">
        <v>40816</v>
      </c>
      <c r="BL49" s="201">
        <v>512.4</v>
      </c>
      <c r="BM49" s="202">
        <v>307.3</v>
      </c>
      <c r="BN49" s="201">
        <v>149.9</v>
      </c>
      <c r="BO49" s="202">
        <v>59.9</v>
      </c>
      <c r="BQ49" s="192">
        <v>38352</v>
      </c>
      <c r="BR49" s="193">
        <v>6436.170066920532</v>
      </c>
      <c r="BS49" s="193">
        <v>-15.662389294616332</v>
      </c>
    </row>
    <row r="50" spans="1:71" ht="14.25" customHeight="1">
      <c r="A50" s="21">
        <v>40908</v>
      </c>
      <c r="B50" s="194">
        <v>2191.4748865901006</v>
      </c>
      <c r="C50" s="194">
        <v>1278.8393042975999</v>
      </c>
      <c r="D50" s="194">
        <v>241.31378023321628</v>
      </c>
      <c r="E50" s="194">
        <v>530.5994305800001</v>
      </c>
      <c r="F50" s="194">
        <v>32.54331201010001</v>
      </c>
      <c r="G50" s="194">
        <v>34.321529740983259</v>
      </c>
      <c r="H50" s="194">
        <v>-232.4968065509554</v>
      </c>
      <c r="I50" s="194">
        <v>-73.397571747399994</v>
      </c>
      <c r="J50" s="194">
        <v>-290.65793787714006</v>
      </c>
      <c r="K50" s="195">
        <v>-265.73963718635486</v>
      </c>
      <c r="L50" s="194">
        <v>-89.359318799642779</v>
      </c>
      <c r="M50" s="194">
        <v>3712.6799612647992</v>
      </c>
      <c r="N50" s="194">
        <v>815.33525476449995</v>
      </c>
      <c r="O50" s="194">
        <v>399.96015252651881</v>
      </c>
      <c r="P50" s="194">
        <v>183.15310365210001</v>
      </c>
      <c r="Q50" s="194">
        <v>155.03695376528412</v>
      </c>
      <c r="R50" s="194">
        <v>-57.290300089607115</v>
      </c>
      <c r="S50" s="196">
        <f t="shared" si="0"/>
        <v>-868.90107050700135</v>
      </c>
      <c r="T50" s="196">
        <f t="shared" si="1"/>
        <v>-1851.4341545930884</v>
      </c>
      <c r="AA50" s="200">
        <v>40908</v>
      </c>
      <c r="AB50" s="201">
        <v>1277.9000000000001</v>
      </c>
      <c r="AC50" s="202">
        <v>63.2</v>
      </c>
      <c r="AD50" s="202">
        <v>38</v>
      </c>
      <c r="AE50" s="202">
        <v>216.1</v>
      </c>
      <c r="AF50" s="202">
        <v>562.5</v>
      </c>
      <c r="AG50" s="202">
        <v>28.3</v>
      </c>
      <c r="AH50" s="202">
        <v>6.7</v>
      </c>
      <c r="AI50" s="202">
        <v>9.5</v>
      </c>
      <c r="AJ50" s="202">
        <v>5.0999999999999996</v>
      </c>
      <c r="AK50" s="202">
        <v>89.9</v>
      </c>
      <c r="AL50" s="202">
        <v>247</v>
      </c>
      <c r="AM50" s="202">
        <v>11.6</v>
      </c>
      <c r="AN50" s="202">
        <v>0</v>
      </c>
      <c r="AO50" s="201">
        <v>815</v>
      </c>
      <c r="AP50" s="202">
        <v>9.1999999999999993</v>
      </c>
      <c r="AQ50" s="202">
        <v>17.5</v>
      </c>
      <c r="AR50" s="202">
        <v>170.3</v>
      </c>
      <c r="AS50" s="202">
        <v>168.3</v>
      </c>
      <c r="AT50" s="202">
        <v>17.2</v>
      </c>
      <c r="AU50" s="202">
        <v>6.9</v>
      </c>
      <c r="AV50" s="202">
        <v>59.2</v>
      </c>
      <c r="AW50" s="202">
        <v>52.6</v>
      </c>
      <c r="AX50" s="202">
        <v>91.9</v>
      </c>
      <c r="AY50" s="202">
        <v>198</v>
      </c>
      <c r="AZ50" s="202">
        <v>24</v>
      </c>
      <c r="BA50" s="202">
        <v>0</v>
      </c>
      <c r="BC50" s="200">
        <v>40908</v>
      </c>
      <c r="BD50" s="201">
        <v>241.2</v>
      </c>
      <c r="BE50" s="202">
        <v>172.7</v>
      </c>
      <c r="BF50" s="202">
        <v>68.400000000000006</v>
      </c>
      <c r="BG50" s="201">
        <v>404</v>
      </c>
      <c r="BH50" s="202">
        <v>9.6</v>
      </c>
      <c r="BI50" s="202">
        <v>394.4</v>
      </c>
      <c r="BK50" s="200">
        <v>40908</v>
      </c>
      <c r="BL50" s="201">
        <v>530.4</v>
      </c>
      <c r="BM50" s="202">
        <v>302.7</v>
      </c>
      <c r="BN50" s="201">
        <v>183.1</v>
      </c>
      <c r="BO50" s="202">
        <v>71.8</v>
      </c>
      <c r="BQ50" s="192">
        <v>38442</v>
      </c>
      <c r="BR50" s="193">
        <v>6700.4631363987282</v>
      </c>
      <c r="BS50" s="193">
        <v>264.29306947819623</v>
      </c>
    </row>
    <row r="51" spans="1:71" ht="14.25" customHeight="1">
      <c r="A51" s="21">
        <v>40999</v>
      </c>
      <c r="B51" s="194">
        <v>1958.9440000230015</v>
      </c>
      <c r="C51" s="194">
        <v>846.70179352759999</v>
      </c>
      <c r="D51" s="194">
        <v>220.51604136848547</v>
      </c>
      <c r="E51" s="194">
        <v>507.3266047007001</v>
      </c>
      <c r="F51" s="194">
        <v>3.9048103927</v>
      </c>
      <c r="G51" s="194">
        <v>-225.1660178949553</v>
      </c>
      <c r="H51" s="194">
        <v>-255.81048130700674</v>
      </c>
      <c r="I51" s="194">
        <v>-9.0157538286999994</v>
      </c>
      <c r="J51" s="194">
        <v>-859.97425979409081</v>
      </c>
      <c r="K51" s="195">
        <v>222.64841631672815</v>
      </c>
      <c r="L51" s="194">
        <v>264.72218538658672</v>
      </c>
      <c r="M51" s="194">
        <v>3589.7267275417994</v>
      </c>
      <c r="N51" s="194">
        <v>692.78596143319987</v>
      </c>
      <c r="O51" s="194">
        <v>698.41075583978215</v>
      </c>
      <c r="P51" s="194">
        <v>163.0993882699</v>
      </c>
      <c r="Q51" s="194">
        <v>61.918737552222524</v>
      </c>
      <c r="R51" s="194">
        <v>152.67056362536019</v>
      </c>
      <c r="S51" s="196">
        <f t="shared" si="0"/>
        <v>-1610.5343934648945</v>
      </c>
      <c r="T51" s="196">
        <f t="shared" si="1"/>
        <v>-2683.8147953712146</v>
      </c>
      <c r="AA51" s="200">
        <v>40999</v>
      </c>
      <c r="AB51" s="201">
        <v>846.4</v>
      </c>
      <c r="AC51" s="202">
        <v>68.8</v>
      </c>
      <c r="AD51" s="202">
        <v>20.2</v>
      </c>
      <c r="AE51" s="202">
        <v>194.3</v>
      </c>
      <c r="AF51" s="202">
        <v>278.7</v>
      </c>
      <c r="AG51" s="202">
        <v>11.8</v>
      </c>
      <c r="AH51" s="202">
        <v>4.9000000000000004</v>
      </c>
      <c r="AI51" s="202">
        <v>9</v>
      </c>
      <c r="AJ51" s="202">
        <v>5.7</v>
      </c>
      <c r="AK51" s="202">
        <v>63.8</v>
      </c>
      <c r="AL51" s="202">
        <v>182.4</v>
      </c>
      <c r="AM51" s="202">
        <v>7</v>
      </c>
      <c r="AN51" s="202">
        <v>0</v>
      </c>
      <c r="AO51" s="201">
        <v>692.5</v>
      </c>
      <c r="AP51" s="202">
        <v>42.5</v>
      </c>
      <c r="AQ51" s="202">
        <v>8.1</v>
      </c>
      <c r="AR51" s="202">
        <v>162.19999999999999</v>
      </c>
      <c r="AS51" s="202">
        <v>149.5</v>
      </c>
      <c r="AT51" s="202">
        <v>10.5</v>
      </c>
      <c r="AU51" s="202">
        <v>14.4</v>
      </c>
      <c r="AV51" s="202">
        <v>36.4</v>
      </c>
      <c r="AW51" s="202">
        <v>45.4</v>
      </c>
      <c r="AX51" s="202">
        <v>68.2</v>
      </c>
      <c r="AY51" s="202">
        <v>132.9</v>
      </c>
      <c r="AZ51" s="202">
        <v>14.4</v>
      </c>
      <c r="BA51" s="202">
        <v>7.9</v>
      </c>
      <c r="BC51" s="200">
        <v>40999</v>
      </c>
      <c r="BD51" s="201">
        <v>220.3</v>
      </c>
      <c r="BE51" s="202">
        <v>179.6</v>
      </c>
      <c r="BF51" s="202">
        <v>40.9</v>
      </c>
      <c r="BG51" s="201">
        <v>709.8</v>
      </c>
      <c r="BH51" s="202">
        <v>7.8</v>
      </c>
      <c r="BI51" s="202">
        <v>702</v>
      </c>
      <c r="BK51" s="200">
        <v>40999</v>
      </c>
      <c r="BL51" s="201">
        <v>507.2</v>
      </c>
      <c r="BM51" s="202">
        <v>306.2</v>
      </c>
      <c r="BN51" s="201">
        <v>163</v>
      </c>
      <c r="BO51" s="202">
        <v>55.2</v>
      </c>
      <c r="BQ51" s="192">
        <v>38533</v>
      </c>
      <c r="BR51" s="193">
        <v>7065.6703593964639</v>
      </c>
      <c r="BS51" s="193">
        <v>365.2072229977357</v>
      </c>
    </row>
    <row r="52" spans="1:71" ht="14.25" customHeight="1">
      <c r="A52" s="21">
        <v>41090</v>
      </c>
      <c r="B52" s="194">
        <v>2132.8208750395002</v>
      </c>
      <c r="C52" s="194">
        <v>1963.3574823773995</v>
      </c>
      <c r="D52" s="194">
        <v>271.55387576888967</v>
      </c>
      <c r="E52" s="194">
        <v>547.94088406539993</v>
      </c>
      <c r="F52" s="194">
        <v>65.507323334199981</v>
      </c>
      <c r="G52" s="194">
        <v>55.948717006244607</v>
      </c>
      <c r="H52" s="194">
        <v>218.0082345116478</v>
      </c>
      <c r="I52" s="194">
        <v>-35.735450799699997</v>
      </c>
      <c r="J52" s="194">
        <v>1064.7783084398211</v>
      </c>
      <c r="K52" s="195">
        <v>108.75103219818291</v>
      </c>
      <c r="L52" s="194">
        <v>759.67659881408531</v>
      </c>
      <c r="M52" s="194">
        <v>3909.0485813977057</v>
      </c>
      <c r="N52" s="194">
        <v>780.45262666399992</v>
      </c>
      <c r="O52" s="194">
        <v>740.27211516149134</v>
      </c>
      <c r="P52" s="194">
        <v>153.66043284670002</v>
      </c>
      <c r="Q52" s="194">
        <v>199.58955704822208</v>
      </c>
      <c r="R52" s="194">
        <v>1054.7380009783965</v>
      </c>
      <c r="S52" s="196">
        <f t="shared" si="0"/>
        <v>-667.76063881870778</v>
      </c>
      <c r="T52" s="196">
        <f t="shared" si="1"/>
        <v>314.84656665915645</v>
      </c>
      <c r="AA52" s="200">
        <v>41090</v>
      </c>
      <c r="AB52" s="201">
        <v>1963.9</v>
      </c>
      <c r="AC52" s="202">
        <v>63.5</v>
      </c>
      <c r="AD52" s="202">
        <v>27.8</v>
      </c>
      <c r="AE52" s="202">
        <v>247.3</v>
      </c>
      <c r="AF52" s="202">
        <v>1278</v>
      </c>
      <c r="AG52" s="202">
        <v>18.100000000000001</v>
      </c>
      <c r="AH52" s="202">
        <v>5.8</v>
      </c>
      <c r="AI52" s="202">
        <v>11.3</v>
      </c>
      <c r="AJ52" s="202">
        <v>4.0999999999999996</v>
      </c>
      <c r="AK52" s="202">
        <v>81.2</v>
      </c>
      <c r="AL52" s="202">
        <v>219.6</v>
      </c>
      <c r="AM52" s="202">
        <v>7</v>
      </c>
      <c r="AN52" s="202">
        <v>0</v>
      </c>
      <c r="AO52" s="201">
        <v>780</v>
      </c>
      <c r="AP52" s="202">
        <v>5</v>
      </c>
      <c r="AQ52" s="202">
        <v>14.1</v>
      </c>
      <c r="AR52" s="202">
        <v>179.6</v>
      </c>
      <c r="AS52" s="202">
        <v>203.9</v>
      </c>
      <c r="AT52" s="202">
        <v>13.2</v>
      </c>
      <c r="AU52" s="202">
        <v>12.4</v>
      </c>
      <c r="AV52" s="202">
        <v>34.299999999999997</v>
      </c>
      <c r="AW52" s="202">
        <v>77.2</v>
      </c>
      <c r="AX52" s="202">
        <v>76.5</v>
      </c>
      <c r="AY52" s="202">
        <v>140</v>
      </c>
      <c r="AZ52" s="202">
        <v>15.7</v>
      </c>
      <c r="BA52" s="202">
        <v>8.4</v>
      </c>
      <c r="BC52" s="200">
        <v>41090</v>
      </c>
      <c r="BD52" s="201">
        <v>271.3</v>
      </c>
      <c r="BE52" s="202">
        <v>189.7</v>
      </c>
      <c r="BF52" s="202">
        <v>81.599999999999994</v>
      </c>
      <c r="BG52" s="201">
        <v>745.9</v>
      </c>
      <c r="BH52" s="202">
        <v>8.8000000000000007</v>
      </c>
      <c r="BI52" s="202">
        <v>737.1</v>
      </c>
      <c r="BK52" s="200">
        <v>41090</v>
      </c>
      <c r="BL52" s="201">
        <v>547.6</v>
      </c>
      <c r="BM52" s="202">
        <v>342.7</v>
      </c>
      <c r="BN52" s="201">
        <v>153.6</v>
      </c>
      <c r="BO52" s="202">
        <v>63.8</v>
      </c>
      <c r="BQ52" s="192">
        <v>38625</v>
      </c>
      <c r="BR52" s="193">
        <v>6998.7048338800705</v>
      </c>
      <c r="BS52" s="193">
        <v>-66.965525516393427</v>
      </c>
    </row>
    <row r="53" spans="1:71" ht="14.25" customHeight="1">
      <c r="A53" s="21">
        <v>41182</v>
      </c>
      <c r="B53" s="194">
        <v>2304.4278003431969</v>
      </c>
      <c r="C53" s="194">
        <v>4651.4456524798998</v>
      </c>
      <c r="D53" s="194">
        <v>286.13358066162027</v>
      </c>
      <c r="E53" s="194">
        <v>529.81641248510005</v>
      </c>
      <c r="F53" s="194">
        <v>10.810658134900002</v>
      </c>
      <c r="G53" s="194">
        <v>36.317814408444278</v>
      </c>
      <c r="H53" s="194">
        <v>200.20225311102882</v>
      </c>
      <c r="I53" s="194">
        <v>-27.390203408600001</v>
      </c>
      <c r="J53" s="194">
        <v>1873.815808449463</v>
      </c>
      <c r="K53" s="195">
        <v>-184.30970442646475</v>
      </c>
      <c r="L53" s="194">
        <v>-548.14423614118709</v>
      </c>
      <c r="M53" s="194">
        <v>3849.1551116053988</v>
      </c>
      <c r="N53" s="194">
        <v>814.2979571502002</v>
      </c>
      <c r="O53" s="194">
        <v>755.44317412413102</v>
      </c>
      <c r="P53" s="194">
        <v>184.80459627020005</v>
      </c>
      <c r="Q53" s="194">
        <v>294.17100270552328</v>
      </c>
      <c r="R53" s="194">
        <v>-26.324063385251879</v>
      </c>
      <c r="S53" s="196">
        <f t="shared" si="0"/>
        <v>2168.1226068198876</v>
      </c>
      <c r="T53" s="196">
        <f t="shared" si="1"/>
        <v>3261.5780576272</v>
      </c>
      <c r="AA53" s="200">
        <v>41182</v>
      </c>
      <c r="AB53" s="201">
        <v>4653.7</v>
      </c>
      <c r="AC53" s="202">
        <v>57.7</v>
      </c>
      <c r="AD53" s="202">
        <v>30.6</v>
      </c>
      <c r="AE53" s="202">
        <v>312.2</v>
      </c>
      <c r="AF53" s="202">
        <v>3839.2</v>
      </c>
      <c r="AG53" s="202">
        <v>29.8</v>
      </c>
      <c r="AH53" s="202">
        <v>5.8</v>
      </c>
      <c r="AI53" s="202">
        <v>18.100000000000001</v>
      </c>
      <c r="AJ53" s="202">
        <v>6.2</v>
      </c>
      <c r="AK53" s="202">
        <v>126.1</v>
      </c>
      <c r="AL53" s="202">
        <v>209.8</v>
      </c>
      <c r="AM53" s="202">
        <v>18.5</v>
      </c>
      <c r="AN53" s="202">
        <v>0</v>
      </c>
      <c r="AO53" s="201">
        <v>814.1</v>
      </c>
      <c r="AP53" s="202">
        <v>4.4000000000000004</v>
      </c>
      <c r="AQ53" s="202">
        <v>12.8</v>
      </c>
      <c r="AR53" s="202">
        <v>185.6</v>
      </c>
      <c r="AS53" s="202">
        <v>203.9</v>
      </c>
      <c r="AT53" s="202">
        <v>19.3</v>
      </c>
      <c r="AU53" s="202">
        <v>9.5</v>
      </c>
      <c r="AV53" s="202">
        <v>50.4</v>
      </c>
      <c r="AW53" s="202">
        <v>57.5</v>
      </c>
      <c r="AX53" s="202">
        <v>88.3</v>
      </c>
      <c r="AY53" s="202">
        <v>151.19999999999999</v>
      </c>
      <c r="AZ53" s="202">
        <v>20.3</v>
      </c>
      <c r="BA53" s="202">
        <v>10.7</v>
      </c>
      <c r="BC53" s="200">
        <v>41182</v>
      </c>
      <c r="BD53" s="201">
        <v>285.7</v>
      </c>
      <c r="BE53" s="202">
        <v>191.4</v>
      </c>
      <c r="BF53" s="202">
        <v>94.3</v>
      </c>
      <c r="BG53" s="201">
        <v>761.7</v>
      </c>
      <c r="BH53" s="202">
        <v>11.8</v>
      </c>
      <c r="BI53" s="202">
        <v>749.9</v>
      </c>
      <c r="BK53" s="200">
        <v>41182</v>
      </c>
      <c r="BL53" s="201">
        <v>529.5</v>
      </c>
      <c r="BM53" s="202">
        <v>320.89999999999998</v>
      </c>
      <c r="BN53" s="201">
        <v>184.7</v>
      </c>
      <c r="BO53" s="202">
        <v>74.3</v>
      </c>
      <c r="BQ53" s="192">
        <v>38717</v>
      </c>
      <c r="BR53" s="193">
        <v>7438.3540109550568</v>
      </c>
      <c r="BS53" s="193">
        <v>439.64917707498626</v>
      </c>
    </row>
    <row r="54" spans="1:71" ht="14.25" customHeight="1">
      <c r="A54" s="21">
        <v>41274</v>
      </c>
      <c r="B54" s="194">
        <v>2276.7568476321021</v>
      </c>
      <c r="C54" s="194">
        <v>1265.9642760357999</v>
      </c>
      <c r="D54" s="194">
        <v>178.53023462013709</v>
      </c>
      <c r="E54" s="194">
        <v>551.52643121849985</v>
      </c>
      <c r="F54" s="194">
        <v>52.163672769399994</v>
      </c>
      <c r="G54" s="194">
        <v>86.728024609244414</v>
      </c>
      <c r="H54" s="194">
        <v>124.59015425813394</v>
      </c>
      <c r="I54" s="194">
        <v>-88.119245338300004</v>
      </c>
      <c r="J54" s="194">
        <v>664.15233210018209</v>
      </c>
      <c r="K54" s="195">
        <v>-101.27979415117382</v>
      </c>
      <c r="L54" s="194">
        <v>23.38699811707761</v>
      </c>
      <c r="M54" s="194">
        <v>3621.1034157720019</v>
      </c>
      <c r="N54" s="194">
        <v>838.93575666769982</v>
      </c>
      <c r="O54" s="194">
        <v>313.85884947316714</v>
      </c>
      <c r="P54" s="194">
        <v>177.61564632240001</v>
      </c>
      <c r="Q54" s="194">
        <v>458.99753062542311</v>
      </c>
      <c r="R54" s="194">
        <v>830.25914869491555</v>
      </c>
      <c r="S54" s="196">
        <f t="shared" si="0"/>
        <v>-678.7358787287294</v>
      </c>
      <c r="T54" s="196">
        <f t="shared" si="1"/>
        <v>-1206.3704156845033</v>
      </c>
      <c r="AA54" s="200">
        <v>41274</v>
      </c>
      <c r="AB54" s="201">
        <v>1264.3</v>
      </c>
      <c r="AC54" s="202">
        <v>81.7</v>
      </c>
      <c r="AD54" s="202">
        <v>33.299999999999997</v>
      </c>
      <c r="AE54" s="202">
        <v>212.4</v>
      </c>
      <c r="AF54" s="202">
        <v>542.4</v>
      </c>
      <c r="AG54" s="202">
        <v>21.9</v>
      </c>
      <c r="AH54" s="202">
        <v>6</v>
      </c>
      <c r="AI54" s="202">
        <v>10.4</v>
      </c>
      <c r="AJ54" s="202">
        <v>7</v>
      </c>
      <c r="AK54" s="202">
        <v>96.3</v>
      </c>
      <c r="AL54" s="202">
        <v>243.5</v>
      </c>
      <c r="AM54" s="202">
        <v>9.6999999999999993</v>
      </c>
      <c r="AN54" s="202">
        <v>0</v>
      </c>
      <c r="AO54" s="201">
        <v>838.1</v>
      </c>
      <c r="AP54" s="202">
        <v>27.4</v>
      </c>
      <c r="AQ54" s="202">
        <v>12.4</v>
      </c>
      <c r="AR54" s="202">
        <v>171.1</v>
      </c>
      <c r="AS54" s="202">
        <v>164.2</v>
      </c>
      <c r="AT54" s="202">
        <v>14.5</v>
      </c>
      <c r="AU54" s="202">
        <v>7</v>
      </c>
      <c r="AV54" s="202">
        <v>64.8</v>
      </c>
      <c r="AW54" s="202">
        <v>59.1</v>
      </c>
      <c r="AX54" s="202">
        <v>79.400000000000006</v>
      </c>
      <c r="AY54" s="202">
        <v>209.6</v>
      </c>
      <c r="AZ54" s="202">
        <v>18.5</v>
      </c>
      <c r="BA54" s="202">
        <v>10.199999999999999</v>
      </c>
      <c r="BC54" s="200">
        <v>41274</v>
      </c>
      <c r="BD54" s="201">
        <v>178.1</v>
      </c>
      <c r="BE54" s="202">
        <v>189</v>
      </c>
      <c r="BF54" s="202">
        <v>-10.9</v>
      </c>
      <c r="BG54" s="201">
        <v>317.2</v>
      </c>
      <c r="BH54" s="202">
        <v>10.199999999999999</v>
      </c>
      <c r="BI54" s="202">
        <v>306.89999999999998</v>
      </c>
      <c r="BK54" s="200">
        <v>41274</v>
      </c>
      <c r="BL54" s="201">
        <v>551.1</v>
      </c>
      <c r="BM54" s="202">
        <v>329.5</v>
      </c>
      <c r="BN54" s="201">
        <v>177.4</v>
      </c>
      <c r="BO54" s="202">
        <v>69.900000000000006</v>
      </c>
      <c r="BQ54" s="192">
        <v>38807</v>
      </c>
      <c r="BR54" s="193">
        <v>8088.50203840821</v>
      </c>
      <c r="BS54" s="193">
        <v>650.14802745315319</v>
      </c>
    </row>
    <row r="55" spans="1:71" ht="14.25" customHeight="1">
      <c r="A55" s="21">
        <v>41364</v>
      </c>
      <c r="B55" s="194">
        <v>1914.7092627734003</v>
      </c>
      <c r="C55" s="194">
        <v>858.28451529309996</v>
      </c>
      <c r="D55" s="194">
        <v>266.38406546979843</v>
      </c>
      <c r="E55" s="194">
        <v>523.86293987640011</v>
      </c>
      <c r="F55" s="194">
        <v>6.6357031878000017</v>
      </c>
      <c r="G55" s="194">
        <v>26.707827561482311</v>
      </c>
      <c r="H55" s="194">
        <v>-76.109734533427286</v>
      </c>
      <c r="I55" s="194">
        <v>28.482971340799999</v>
      </c>
      <c r="J55" s="194">
        <v>-594.91773059254797</v>
      </c>
      <c r="K55" s="195">
        <v>-38.623096000000054</v>
      </c>
      <c r="L55" s="194">
        <v>168.57623735528591</v>
      </c>
      <c r="M55" s="194">
        <v>3499.3166707100008</v>
      </c>
      <c r="N55" s="194">
        <v>646.99935332960013</v>
      </c>
      <c r="O55" s="194">
        <v>582.92442332174039</v>
      </c>
      <c r="P55" s="194">
        <v>162.11860325420002</v>
      </c>
      <c r="Q55" s="194">
        <v>600.9778130524038</v>
      </c>
      <c r="R55" s="194">
        <v>-102.53124861633997</v>
      </c>
      <c r="S55" s="196">
        <f t="shared" si="0"/>
        <v>-1328.1182672028426</v>
      </c>
      <c r="T55" s="196">
        <f t="shared" si="1"/>
        <v>-2305.8126533195136</v>
      </c>
      <c r="AA55" s="200">
        <v>41364</v>
      </c>
      <c r="AB55" s="201">
        <v>857.7</v>
      </c>
      <c r="AC55" s="202">
        <v>51.2</v>
      </c>
      <c r="AD55" s="202">
        <v>23.6</v>
      </c>
      <c r="AE55" s="202">
        <v>176.8</v>
      </c>
      <c r="AF55" s="202">
        <v>294.39999999999998</v>
      </c>
      <c r="AG55" s="202">
        <v>14.6</v>
      </c>
      <c r="AH55" s="202">
        <v>6.5</v>
      </c>
      <c r="AI55" s="202">
        <v>5.9</v>
      </c>
      <c r="AJ55" s="202">
        <v>3.3</v>
      </c>
      <c r="AK55" s="202">
        <v>64.3</v>
      </c>
      <c r="AL55" s="202">
        <v>185.8</v>
      </c>
      <c r="AM55" s="202">
        <v>31.4</v>
      </c>
      <c r="AN55" s="202">
        <v>0</v>
      </c>
      <c r="AO55" s="201">
        <v>646.5</v>
      </c>
      <c r="AP55" s="202">
        <v>7.1</v>
      </c>
      <c r="AQ55" s="202">
        <v>9.6</v>
      </c>
      <c r="AR55" s="202">
        <v>151.9</v>
      </c>
      <c r="AS55" s="202">
        <v>138.80000000000001</v>
      </c>
      <c r="AT55" s="202">
        <v>6.7</v>
      </c>
      <c r="AU55" s="202">
        <v>18.2</v>
      </c>
      <c r="AV55" s="202">
        <v>42.2</v>
      </c>
      <c r="AW55" s="202">
        <v>49.7</v>
      </c>
      <c r="AX55" s="202">
        <v>61.2</v>
      </c>
      <c r="AY55" s="202">
        <v>134.9</v>
      </c>
      <c r="AZ55" s="202">
        <v>18.3</v>
      </c>
      <c r="BA55" s="202">
        <v>7.9</v>
      </c>
      <c r="BC55" s="200">
        <v>41364</v>
      </c>
      <c r="BD55" s="201">
        <v>266.2</v>
      </c>
      <c r="BE55" s="202">
        <v>184.3</v>
      </c>
      <c r="BF55" s="202">
        <v>81.900000000000006</v>
      </c>
      <c r="BG55" s="201">
        <v>582.70000000000005</v>
      </c>
      <c r="BH55" s="202">
        <v>9</v>
      </c>
      <c r="BI55" s="202">
        <v>573.6</v>
      </c>
      <c r="BK55" s="200">
        <v>41364</v>
      </c>
      <c r="BL55" s="201">
        <v>523.5</v>
      </c>
      <c r="BM55" s="202">
        <v>318.8</v>
      </c>
      <c r="BN55" s="201">
        <v>162.1</v>
      </c>
      <c r="BO55" s="202">
        <v>56.7</v>
      </c>
      <c r="BQ55" s="192">
        <v>38898</v>
      </c>
      <c r="BR55" s="193">
        <v>8743.556474674273</v>
      </c>
      <c r="BS55" s="193">
        <v>655.05443626606302</v>
      </c>
    </row>
    <row r="56" spans="1:71" ht="14.25" customHeight="1">
      <c r="A56" s="21">
        <v>41455</v>
      </c>
      <c r="B56" s="194">
        <v>2113.5667905262007</v>
      </c>
      <c r="C56" s="194">
        <v>1990.8710651826</v>
      </c>
      <c r="D56" s="194">
        <v>282.69766005356655</v>
      </c>
      <c r="E56" s="194">
        <v>597.10995079829991</v>
      </c>
      <c r="F56" s="194">
        <v>25.016570223799999</v>
      </c>
      <c r="G56" s="194">
        <v>95.255753665882281</v>
      </c>
      <c r="H56" s="194">
        <v>-272.16088796573712</v>
      </c>
      <c r="I56" s="194">
        <v>16.483707408199997</v>
      </c>
      <c r="J56" s="194">
        <v>-145.12924034038878</v>
      </c>
      <c r="K56" s="195">
        <v>804.22626600010017</v>
      </c>
      <c r="L56" s="194">
        <v>361.10743295443598</v>
      </c>
      <c r="M56" s="194">
        <v>4128.9663633682994</v>
      </c>
      <c r="N56" s="194">
        <v>783.64592014679988</v>
      </c>
      <c r="O56" s="194">
        <v>571.0387820615199</v>
      </c>
      <c r="P56" s="194">
        <v>156.73431716019999</v>
      </c>
      <c r="Q56" s="194">
        <v>50.927578986804036</v>
      </c>
      <c r="R56" s="194">
        <v>717.76393277916861</v>
      </c>
      <c r="S56" s="196">
        <f t="shared" si="0"/>
        <v>-656.13991617615193</v>
      </c>
      <c r="T56" s="196">
        <f t="shared" si="1"/>
        <v>-540.03182599583124</v>
      </c>
      <c r="AA56" s="200">
        <v>41455</v>
      </c>
      <c r="AB56" s="201">
        <v>1987.4</v>
      </c>
      <c r="AC56" s="202">
        <v>55.7</v>
      </c>
      <c r="AD56" s="202">
        <v>29.4</v>
      </c>
      <c r="AE56" s="202">
        <v>245.5</v>
      </c>
      <c r="AF56" s="202">
        <v>1312.5</v>
      </c>
      <c r="AG56" s="202">
        <v>16.899999999999999</v>
      </c>
      <c r="AH56" s="202">
        <v>6.1</v>
      </c>
      <c r="AI56" s="202">
        <v>9.1</v>
      </c>
      <c r="AJ56" s="202">
        <v>6.4</v>
      </c>
      <c r="AK56" s="202">
        <v>77.900000000000006</v>
      </c>
      <c r="AL56" s="202">
        <v>216.2</v>
      </c>
      <c r="AM56" s="202">
        <v>11.5</v>
      </c>
      <c r="AN56" s="202">
        <v>0</v>
      </c>
      <c r="AO56" s="201">
        <v>783.6</v>
      </c>
      <c r="AP56" s="202">
        <v>10.6</v>
      </c>
      <c r="AQ56" s="202">
        <v>10.9</v>
      </c>
      <c r="AR56" s="202">
        <v>182.2</v>
      </c>
      <c r="AS56" s="202">
        <v>185.1</v>
      </c>
      <c r="AT56" s="202">
        <v>7.7</v>
      </c>
      <c r="AU56" s="202">
        <v>11</v>
      </c>
      <c r="AV56" s="202">
        <v>56</v>
      </c>
      <c r="AW56" s="202">
        <v>56</v>
      </c>
      <c r="AX56" s="202">
        <v>75</v>
      </c>
      <c r="AY56" s="202">
        <v>160.80000000000001</v>
      </c>
      <c r="AZ56" s="202">
        <v>18.8</v>
      </c>
      <c r="BA56" s="202">
        <v>9.4</v>
      </c>
      <c r="BC56" s="200">
        <v>41455</v>
      </c>
      <c r="BD56" s="201">
        <v>282.8</v>
      </c>
      <c r="BE56" s="202">
        <v>206</v>
      </c>
      <c r="BF56" s="202">
        <v>76.8</v>
      </c>
      <c r="BG56" s="201">
        <v>569.79999999999995</v>
      </c>
      <c r="BH56" s="202">
        <v>9.6999999999999993</v>
      </c>
      <c r="BI56" s="202">
        <v>560.20000000000005</v>
      </c>
      <c r="BK56" s="200">
        <v>41455</v>
      </c>
      <c r="BL56" s="201">
        <v>597.20000000000005</v>
      </c>
      <c r="BM56" s="202">
        <v>350.3</v>
      </c>
      <c r="BN56" s="201">
        <v>156.69999999999999</v>
      </c>
      <c r="BO56" s="202">
        <v>58.2</v>
      </c>
      <c r="BQ56" s="192">
        <v>38990</v>
      </c>
      <c r="BR56" s="193">
        <v>8134.7834681989289</v>
      </c>
      <c r="BS56" s="193">
        <v>-608.77300647534412</v>
      </c>
    </row>
    <row r="57" spans="1:71" ht="14.25" customHeight="1">
      <c r="A57" s="21">
        <v>41547</v>
      </c>
      <c r="B57" s="194">
        <v>2460.4214755432013</v>
      </c>
      <c r="C57" s="194">
        <v>4681.2428695897988</v>
      </c>
      <c r="D57" s="194">
        <v>326.92040525049646</v>
      </c>
      <c r="E57" s="194">
        <v>560.38711119179993</v>
      </c>
      <c r="F57" s="194">
        <v>14.807823966700003</v>
      </c>
      <c r="G57" s="194">
        <v>89.826792641482442</v>
      </c>
      <c r="H57" s="194">
        <v>531.92317416797425</v>
      </c>
      <c r="I57" s="194">
        <v>-158.20960192429999</v>
      </c>
      <c r="J57" s="194">
        <v>1184.8561930461576</v>
      </c>
      <c r="K57" s="195">
        <v>-185.144732</v>
      </c>
      <c r="L57" s="194">
        <v>-999.07448074154877</v>
      </c>
      <c r="M57" s="194">
        <v>4093.9531479356997</v>
      </c>
      <c r="N57" s="194">
        <v>766.51848235419993</v>
      </c>
      <c r="O57" s="194">
        <v>608.62566962647224</v>
      </c>
      <c r="P57" s="194">
        <v>261.0268098752</v>
      </c>
      <c r="Q57" s="194">
        <v>82.978182649403635</v>
      </c>
      <c r="R57" s="194">
        <v>65.692548273034973</v>
      </c>
      <c r="S57" s="196">
        <f t="shared" si="0"/>
        <v>2298.8477517837246</v>
      </c>
      <c r="T57" s="196">
        <f t="shared" si="1"/>
        <v>2629.1621900177524</v>
      </c>
      <c r="AA57" s="200">
        <v>41547</v>
      </c>
      <c r="AB57" s="201">
        <v>4668.3999999999996</v>
      </c>
      <c r="AC57" s="202">
        <v>53.5</v>
      </c>
      <c r="AD57" s="202">
        <v>26</v>
      </c>
      <c r="AE57" s="202">
        <v>286.60000000000002</v>
      </c>
      <c r="AF57" s="202">
        <v>3949</v>
      </c>
      <c r="AG57" s="202">
        <v>13.6</v>
      </c>
      <c r="AH57" s="202">
        <v>5.3</v>
      </c>
      <c r="AI57" s="202">
        <v>17.399999999999999</v>
      </c>
      <c r="AJ57" s="202">
        <v>2.7</v>
      </c>
      <c r="AK57" s="202">
        <v>86.1</v>
      </c>
      <c r="AL57" s="202">
        <v>207.5</v>
      </c>
      <c r="AM57" s="202">
        <v>20.5</v>
      </c>
      <c r="AN57" s="202">
        <v>0</v>
      </c>
      <c r="AO57" s="201">
        <v>765.3</v>
      </c>
      <c r="AP57" s="202">
        <v>5.6</v>
      </c>
      <c r="AQ57" s="202">
        <v>12.1</v>
      </c>
      <c r="AR57" s="202">
        <v>179.8</v>
      </c>
      <c r="AS57" s="202">
        <v>180.1</v>
      </c>
      <c r="AT57" s="202">
        <v>14.4</v>
      </c>
      <c r="AU57" s="202">
        <v>10.1</v>
      </c>
      <c r="AV57" s="202">
        <v>53.9</v>
      </c>
      <c r="AW57" s="202">
        <v>43.7</v>
      </c>
      <c r="AX57" s="202">
        <v>71</v>
      </c>
      <c r="AY57" s="202">
        <v>158.4</v>
      </c>
      <c r="AZ57" s="202">
        <v>27.2</v>
      </c>
      <c r="BA57" s="202">
        <v>8.9</v>
      </c>
      <c r="BC57" s="200">
        <v>41547</v>
      </c>
      <c r="BD57" s="201">
        <v>326.89999999999998</v>
      </c>
      <c r="BE57" s="202">
        <v>176.7</v>
      </c>
      <c r="BF57" s="202">
        <v>150.30000000000001</v>
      </c>
      <c r="BG57" s="201">
        <v>607.9</v>
      </c>
      <c r="BH57" s="202">
        <v>13.4</v>
      </c>
      <c r="BI57" s="202">
        <v>594.5</v>
      </c>
      <c r="BK57" s="200">
        <v>41547</v>
      </c>
      <c r="BL57" s="201">
        <v>559.5</v>
      </c>
      <c r="BM57" s="202">
        <v>322.3</v>
      </c>
      <c r="BN57" s="201">
        <v>260.8</v>
      </c>
      <c r="BO57" s="202">
        <v>70.400000000000006</v>
      </c>
      <c r="BQ57" s="192">
        <v>39082</v>
      </c>
      <c r="BR57" s="193">
        <v>8725.3175425672598</v>
      </c>
      <c r="BS57" s="193">
        <v>590.53407436833095</v>
      </c>
    </row>
    <row r="58" spans="1:71" ht="14.25" customHeight="1">
      <c r="A58" s="21">
        <v>41639</v>
      </c>
      <c r="B58" s="194">
        <v>2435.2749463612008</v>
      </c>
      <c r="C58" s="194">
        <v>1258.4848387895001</v>
      </c>
      <c r="D58" s="194">
        <v>-6.7383998005700221</v>
      </c>
      <c r="E58" s="194">
        <v>573.15489109070006</v>
      </c>
      <c r="F58" s="194">
        <v>37.724448887400001</v>
      </c>
      <c r="G58" s="194">
        <v>-225.72168099151762</v>
      </c>
      <c r="H58" s="194">
        <v>-285.99430305254572</v>
      </c>
      <c r="I58" s="194">
        <v>-41.968861494299993</v>
      </c>
      <c r="J58" s="194">
        <v>15.374342467843178</v>
      </c>
      <c r="K58" s="195">
        <v>1263.629117</v>
      </c>
      <c r="L58" s="194">
        <v>308.50667549415215</v>
      </c>
      <c r="M58" s="194">
        <v>3827.6752255910988</v>
      </c>
      <c r="N58" s="194">
        <v>836.03381975339994</v>
      </c>
      <c r="O58" s="194">
        <v>81.562602019370402</v>
      </c>
      <c r="P58" s="194">
        <v>290.4914110405</v>
      </c>
      <c r="Q58" s="194">
        <v>-0.6357702084949608</v>
      </c>
      <c r="R58" s="194">
        <v>1155.3100417199607</v>
      </c>
      <c r="S58" s="196">
        <f t="shared" si="0"/>
        <v>-775.58678196353776</v>
      </c>
      <c r="T58" s="196">
        <f t="shared" si="1"/>
        <v>-858.71131516397054</v>
      </c>
      <c r="AA58" s="200">
        <v>41639</v>
      </c>
      <c r="AB58" s="201">
        <v>1257.5999999999999</v>
      </c>
      <c r="AC58" s="202">
        <v>59.9</v>
      </c>
      <c r="AD58" s="202">
        <v>32.799999999999997</v>
      </c>
      <c r="AE58" s="202">
        <v>224.7</v>
      </c>
      <c r="AF58" s="202">
        <v>579.9</v>
      </c>
      <c r="AG58" s="202">
        <v>22.8</v>
      </c>
      <c r="AH58" s="202">
        <v>6.8</v>
      </c>
      <c r="AI58" s="202">
        <v>7.7</v>
      </c>
      <c r="AJ58" s="202">
        <v>5.8</v>
      </c>
      <c r="AK58" s="202">
        <v>85.1</v>
      </c>
      <c r="AL58" s="202">
        <v>222.4</v>
      </c>
      <c r="AM58" s="202">
        <v>9.6999999999999993</v>
      </c>
      <c r="AN58" s="202">
        <v>0</v>
      </c>
      <c r="AO58" s="201">
        <v>835.6</v>
      </c>
      <c r="AP58" s="202">
        <v>8.9</v>
      </c>
      <c r="AQ58" s="202">
        <v>14.4</v>
      </c>
      <c r="AR58" s="202">
        <v>170.1</v>
      </c>
      <c r="AS58" s="202">
        <v>175.3</v>
      </c>
      <c r="AT58" s="202">
        <v>21.6</v>
      </c>
      <c r="AU58" s="202">
        <v>8.9</v>
      </c>
      <c r="AV58" s="202">
        <v>54.8</v>
      </c>
      <c r="AW58" s="202">
        <v>62</v>
      </c>
      <c r="AX58" s="202">
        <v>74.8</v>
      </c>
      <c r="AY58" s="202">
        <v>211</v>
      </c>
      <c r="AZ58" s="202">
        <v>25.6</v>
      </c>
      <c r="BA58" s="202">
        <v>8.1</v>
      </c>
      <c r="BC58" s="200">
        <v>41639</v>
      </c>
      <c r="BD58" s="201">
        <v>-6.9</v>
      </c>
      <c r="BE58" s="202">
        <v>189.4</v>
      </c>
      <c r="BF58" s="202">
        <v>-196.5</v>
      </c>
      <c r="BG58" s="201">
        <v>81.5</v>
      </c>
      <c r="BH58" s="202">
        <v>13</v>
      </c>
      <c r="BI58" s="202">
        <v>68.599999999999994</v>
      </c>
      <c r="BK58" s="200">
        <v>41639</v>
      </c>
      <c r="BL58" s="201">
        <v>572.79999999999995</v>
      </c>
      <c r="BM58" s="202">
        <v>346.8</v>
      </c>
      <c r="BN58" s="201">
        <v>290.3</v>
      </c>
      <c r="BO58" s="202">
        <v>84.5</v>
      </c>
      <c r="BQ58" s="192">
        <v>39172</v>
      </c>
      <c r="BR58" s="193">
        <v>9519.7484465546277</v>
      </c>
      <c r="BS58" s="193">
        <v>794.43090398736786</v>
      </c>
    </row>
    <row r="59" spans="1:71" ht="14.25" customHeight="1">
      <c r="A59" s="21">
        <v>41729</v>
      </c>
      <c r="B59" s="194">
        <v>2145.2114874735989</v>
      </c>
      <c r="C59" s="194">
        <v>907.01591341740027</v>
      </c>
      <c r="D59" s="194">
        <v>240.73233831821688</v>
      </c>
      <c r="E59" s="194">
        <v>599.3076404538001</v>
      </c>
      <c r="F59" s="194">
        <v>96.41810763120003</v>
      </c>
      <c r="G59" s="194">
        <v>14.05763030915357</v>
      </c>
      <c r="H59" s="194">
        <v>-9.2422386490340216</v>
      </c>
      <c r="I59" s="194">
        <v>-47.697028350500005</v>
      </c>
      <c r="J59" s="194">
        <v>161.4190426781978</v>
      </c>
      <c r="K59" s="195">
        <v>-801.32541600000002</v>
      </c>
      <c r="L59" s="194">
        <v>433.79486602363886</v>
      </c>
      <c r="M59" s="194">
        <v>3729.372983129902</v>
      </c>
      <c r="N59" s="194">
        <v>637.30543740459996</v>
      </c>
      <c r="O59" s="194">
        <v>572.74482226354542</v>
      </c>
      <c r="P59" s="194">
        <v>340.6345036724</v>
      </c>
      <c r="Q59" s="194">
        <v>195.22061562052033</v>
      </c>
      <c r="R59" s="194">
        <v>-20.431232480110875</v>
      </c>
      <c r="S59" s="196">
        <f t="shared" si="0"/>
        <v>-1387.7903668074314</v>
      </c>
      <c r="T59" s="196">
        <f t="shared" si="1"/>
        <v>-1715.1547863051842</v>
      </c>
      <c r="AA59" s="200">
        <v>41729</v>
      </c>
      <c r="AB59" s="201">
        <v>906.6</v>
      </c>
      <c r="AC59" s="202">
        <v>55.3</v>
      </c>
      <c r="AD59" s="202">
        <v>21.6</v>
      </c>
      <c r="AE59" s="202">
        <v>189.8</v>
      </c>
      <c r="AF59" s="202">
        <v>344.3</v>
      </c>
      <c r="AG59" s="202">
        <v>11.9</v>
      </c>
      <c r="AH59" s="202">
        <v>6.4</v>
      </c>
      <c r="AI59" s="202">
        <v>7.7</v>
      </c>
      <c r="AJ59" s="202">
        <v>3.4</v>
      </c>
      <c r="AK59" s="202">
        <v>66.7</v>
      </c>
      <c r="AL59" s="202">
        <v>190.5</v>
      </c>
      <c r="AM59" s="202">
        <v>9.3000000000000007</v>
      </c>
      <c r="AN59" s="202">
        <v>0</v>
      </c>
      <c r="AO59" s="201">
        <v>637</v>
      </c>
      <c r="AP59" s="202">
        <v>3.7</v>
      </c>
      <c r="AQ59" s="202">
        <v>10.8</v>
      </c>
      <c r="AR59" s="202">
        <v>126.4</v>
      </c>
      <c r="AS59" s="202">
        <v>141.30000000000001</v>
      </c>
      <c r="AT59" s="202">
        <v>11.6</v>
      </c>
      <c r="AU59" s="202">
        <v>18</v>
      </c>
      <c r="AV59" s="202">
        <v>50.6</v>
      </c>
      <c r="AW59" s="202">
        <v>45.4</v>
      </c>
      <c r="AX59" s="202">
        <v>59.6</v>
      </c>
      <c r="AY59" s="202">
        <v>141.4</v>
      </c>
      <c r="AZ59" s="202">
        <v>20.399999999999999</v>
      </c>
      <c r="BA59" s="202">
        <v>7.8</v>
      </c>
      <c r="BC59" s="200">
        <v>41729</v>
      </c>
      <c r="BD59" s="201">
        <v>240.7</v>
      </c>
      <c r="BE59" s="202">
        <v>162.5</v>
      </c>
      <c r="BF59" s="202">
        <v>78.2</v>
      </c>
      <c r="BG59" s="201">
        <v>572.6</v>
      </c>
      <c r="BH59" s="202">
        <v>7.7</v>
      </c>
      <c r="BI59" s="202">
        <v>564.9</v>
      </c>
      <c r="BK59" s="200">
        <v>41729</v>
      </c>
      <c r="BL59" s="201">
        <v>599.20000000000005</v>
      </c>
      <c r="BM59" s="202">
        <v>413.1</v>
      </c>
      <c r="BN59" s="201">
        <v>340.5</v>
      </c>
      <c r="BO59" s="202">
        <v>72.3</v>
      </c>
      <c r="BQ59" s="192">
        <v>39263</v>
      </c>
      <c r="BR59" s="193">
        <v>9170.359322238759</v>
      </c>
      <c r="BS59" s="193">
        <v>-349.38912431586868</v>
      </c>
    </row>
    <row r="60" spans="1:71" ht="14.25" customHeight="1">
      <c r="A60" s="21">
        <v>41820</v>
      </c>
      <c r="B60" s="234">
        <v>2308.8966373134003</v>
      </c>
      <c r="C60" s="234">
        <v>2166.213424172</v>
      </c>
      <c r="D60" s="234">
        <v>270.26855758562692</v>
      </c>
      <c r="E60" s="234">
        <v>539.84615609139985</v>
      </c>
      <c r="F60" s="234">
        <v>23.900325668700006</v>
      </c>
      <c r="G60" s="234">
        <v>1750.4308974827545</v>
      </c>
      <c r="H60" s="234">
        <v>140.07001308736494</v>
      </c>
      <c r="I60" s="234">
        <v>21.555540983900002</v>
      </c>
      <c r="J60" s="234">
        <v>111.15794617138033</v>
      </c>
      <c r="K60" s="235">
        <v>208.74065200000004</v>
      </c>
      <c r="L60" s="234">
        <v>849.0293825048501</v>
      </c>
      <c r="M60" s="234">
        <v>4267.5251626221016</v>
      </c>
      <c r="N60" s="234">
        <v>725.88527452850008</v>
      </c>
      <c r="O60" s="234">
        <v>669.54649416967868</v>
      </c>
      <c r="P60" s="234">
        <v>281.06732800099996</v>
      </c>
      <c r="Q60" s="234">
        <v>2064.2630456024222</v>
      </c>
      <c r="R60" s="234">
        <v>-46.438219891719292</v>
      </c>
      <c r="S60" s="196">
        <f t="shared" si="0"/>
        <v>-658.79948415885337</v>
      </c>
      <c r="T60" s="196">
        <f t="shared" si="1"/>
        <v>428.26044802939396</v>
      </c>
      <c r="AA60" s="200">
        <v>41820</v>
      </c>
      <c r="AB60" s="201">
        <v>2163.9</v>
      </c>
      <c r="AC60" s="202">
        <v>62.8</v>
      </c>
      <c r="AD60" s="202">
        <v>35.700000000000003</v>
      </c>
      <c r="AE60" s="202">
        <v>248.3</v>
      </c>
      <c r="AF60" s="202">
        <v>1472.1</v>
      </c>
      <c r="AG60" s="202">
        <v>15</v>
      </c>
      <c r="AH60" s="202">
        <v>6.6</v>
      </c>
      <c r="AI60" s="202">
        <v>12.4</v>
      </c>
      <c r="AJ60" s="202">
        <v>4.2</v>
      </c>
      <c r="AK60" s="202">
        <v>74.599999999999994</v>
      </c>
      <c r="AL60" s="202">
        <v>217</v>
      </c>
      <c r="AM60" s="202">
        <v>15.1</v>
      </c>
      <c r="AN60" s="202">
        <v>0</v>
      </c>
      <c r="AO60" s="201">
        <v>725.7</v>
      </c>
      <c r="AP60" s="202">
        <v>5.5</v>
      </c>
      <c r="AQ60" s="202">
        <v>13</v>
      </c>
      <c r="AR60" s="202">
        <v>145.5</v>
      </c>
      <c r="AS60" s="202">
        <v>171.5</v>
      </c>
      <c r="AT60" s="202">
        <v>18.2</v>
      </c>
      <c r="AU60" s="202">
        <v>9.9</v>
      </c>
      <c r="AV60" s="202">
        <v>52.9</v>
      </c>
      <c r="AW60" s="202">
        <v>48.3</v>
      </c>
      <c r="AX60" s="202">
        <v>65.8</v>
      </c>
      <c r="AY60" s="202">
        <v>168.6</v>
      </c>
      <c r="AZ60" s="202">
        <v>19.3</v>
      </c>
      <c r="BA60" s="202">
        <v>7.2</v>
      </c>
      <c r="BC60" s="200">
        <v>41820</v>
      </c>
      <c r="BD60" s="201">
        <v>270.2</v>
      </c>
      <c r="BE60" s="202">
        <v>186.3</v>
      </c>
      <c r="BF60" s="202">
        <v>83.8</v>
      </c>
      <c r="BG60" s="201">
        <v>669.9</v>
      </c>
      <c r="BH60" s="202">
        <v>10</v>
      </c>
      <c r="BI60" s="202">
        <v>659.9</v>
      </c>
      <c r="BK60" s="200">
        <v>41820</v>
      </c>
      <c r="BL60" s="201">
        <v>539.79999999999995</v>
      </c>
      <c r="BM60" s="202">
        <v>336.7</v>
      </c>
      <c r="BN60" s="201">
        <v>281.10000000000002</v>
      </c>
      <c r="BO60" s="202">
        <v>90.5</v>
      </c>
      <c r="BQ60" s="192">
        <v>39355</v>
      </c>
      <c r="BR60" s="193">
        <v>8795.1166941612955</v>
      </c>
      <c r="BS60" s="193">
        <v>-375.24262807746345</v>
      </c>
    </row>
    <row r="61" spans="1:71" ht="14.25" customHeight="1">
      <c r="A61" s="21">
        <v>41912</v>
      </c>
      <c r="B61" s="234">
        <v>2502.170006605299</v>
      </c>
      <c r="C61" s="234">
        <v>4922.4998376287986</v>
      </c>
      <c r="D61" s="234">
        <v>253.56683443752803</v>
      </c>
      <c r="E61" s="234">
        <v>553.58426901840016</v>
      </c>
      <c r="F61" s="234">
        <v>14.613455374899999</v>
      </c>
      <c r="G61" s="234">
        <v>91.912641264853491</v>
      </c>
      <c r="H61" s="234">
        <v>121.93027720954396</v>
      </c>
      <c r="I61" s="234">
        <v>124.66808767479998</v>
      </c>
      <c r="J61" s="234">
        <v>1644.5439460321666</v>
      </c>
      <c r="K61" s="235">
        <v>-407.65781100000004</v>
      </c>
      <c r="L61" s="234">
        <v>-840.3900225888849</v>
      </c>
      <c r="M61" s="234">
        <v>4194.5909885002011</v>
      </c>
      <c r="N61" s="234">
        <v>787.48153806219955</v>
      </c>
      <c r="O61" s="234">
        <v>691.57408713978168</v>
      </c>
      <c r="P61" s="234">
        <v>238.78605470299999</v>
      </c>
      <c r="Q61" s="234">
        <v>367.13128338472018</v>
      </c>
      <c r="R61" s="234">
        <v>-285.34585427421496</v>
      </c>
      <c r="S61" s="196">
        <f t="shared" si="0"/>
        <v>2319.3882792848435</v>
      </c>
      <c r="T61" s="196">
        <f t="shared" si="1"/>
        <v>2987.2234241417145</v>
      </c>
      <c r="AA61" s="200">
        <v>41912</v>
      </c>
      <c r="AB61" s="201">
        <v>4917</v>
      </c>
      <c r="AC61" s="202">
        <v>62.6</v>
      </c>
      <c r="AD61" s="202">
        <v>31.5</v>
      </c>
      <c r="AE61" s="202">
        <v>318</v>
      </c>
      <c r="AF61" s="202">
        <v>4111.6000000000004</v>
      </c>
      <c r="AG61" s="202">
        <v>15</v>
      </c>
      <c r="AH61" s="202">
        <v>5.5</v>
      </c>
      <c r="AI61" s="202">
        <v>23.6</v>
      </c>
      <c r="AJ61" s="202">
        <v>3.7</v>
      </c>
      <c r="AK61" s="202">
        <v>118.7</v>
      </c>
      <c r="AL61" s="202">
        <v>208.6</v>
      </c>
      <c r="AM61" s="202">
        <v>18.399999999999999</v>
      </c>
      <c r="AN61" s="202">
        <v>0</v>
      </c>
      <c r="AO61" s="201">
        <v>786.5</v>
      </c>
      <c r="AP61" s="202">
        <v>6.2</v>
      </c>
      <c r="AQ61" s="202">
        <v>17.3</v>
      </c>
      <c r="AR61" s="202">
        <v>155.30000000000001</v>
      </c>
      <c r="AS61" s="202">
        <v>191.9</v>
      </c>
      <c r="AT61" s="202">
        <v>11.4</v>
      </c>
      <c r="AU61" s="202">
        <v>8</v>
      </c>
      <c r="AV61" s="202">
        <v>63.1</v>
      </c>
      <c r="AW61" s="202">
        <v>51.4</v>
      </c>
      <c r="AX61" s="202">
        <v>67.8</v>
      </c>
      <c r="AY61" s="202">
        <v>179.2</v>
      </c>
      <c r="AZ61" s="202">
        <v>26.4</v>
      </c>
      <c r="BA61" s="202">
        <v>8.4</v>
      </c>
      <c r="BC61" s="200">
        <v>41912</v>
      </c>
      <c r="BD61" s="201">
        <v>253.3</v>
      </c>
      <c r="BE61" s="202">
        <v>187.6</v>
      </c>
      <c r="BF61" s="202">
        <v>65.7</v>
      </c>
      <c r="BG61" s="201">
        <v>690.8</v>
      </c>
      <c r="BH61" s="202">
        <v>7.5</v>
      </c>
      <c r="BI61" s="202">
        <v>683.3</v>
      </c>
      <c r="BK61" s="200">
        <v>41912</v>
      </c>
      <c r="BL61" s="201">
        <v>552.9</v>
      </c>
      <c r="BM61" s="202">
        <v>354.2</v>
      </c>
      <c r="BN61" s="201">
        <v>238.5</v>
      </c>
      <c r="BO61" s="202">
        <v>95.4</v>
      </c>
      <c r="BQ61" s="192">
        <v>39447</v>
      </c>
      <c r="BR61" s="193">
        <v>9307.3846309397904</v>
      </c>
      <c r="BS61" s="193">
        <v>512.26793677849491</v>
      </c>
    </row>
    <row r="62" spans="1:71" ht="14.25" customHeight="1">
      <c r="A62" s="21">
        <v>42004</v>
      </c>
      <c r="B62" s="194">
        <v>2483.2490234641991</v>
      </c>
      <c r="C62" s="194">
        <v>1379.7711653117001</v>
      </c>
      <c r="D62" s="194">
        <v>59.612163130790009</v>
      </c>
      <c r="E62" s="194">
        <v>578.55280914000025</v>
      </c>
      <c r="F62" s="194">
        <v>50.309228755499994</v>
      </c>
      <c r="G62" s="194">
        <v>-236.32124077724683</v>
      </c>
      <c r="H62" s="194">
        <v>121.99083496006305</v>
      </c>
      <c r="I62" s="194">
        <v>76.448751800699995</v>
      </c>
      <c r="J62" s="194">
        <v>-808.19943629536147</v>
      </c>
      <c r="K62" s="195">
        <v>470.362415</v>
      </c>
      <c r="L62" s="194">
        <v>29.342080530268163</v>
      </c>
      <c r="M62" s="194">
        <v>3875.213204617603</v>
      </c>
      <c r="N62" s="194">
        <v>751.96573771099997</v>
      </c>
      <c r="O62" s="194">
        <v>-242.77127530586785</v>
      </c>
      <c r="P62" s="194">
        <v>278.44431243540004</v>
      </c>
      <c r="Q62" s="194">
        <v>-317.30821617207914</v>
      </c>
      <c r="R62" s="194">
        <v>23.605049985911478</v>
      </c>
      <c r="S62" s="196">
        <f t="shared" si="0"/>
        <v>-161.66681841144509</v>
      </c>
      <c r="T62" s="196">
        <f t="shared" si="1"/>
        <v>-164.031018251354</v>
      </c>
      <c r="AA62" s="200">
        <v>42004</v>
      </c>
      <c r="AB62" s="201">
        <v>1378.8</v>
      </c>
      <c r="AC62" s="202">
        <v>70.599999999999994</v>
      </c>
      <c r="AD62" s="202">
        <v>33.4</v>
      </c>
      <c r="AE62" s="202">
        <v>242.4</v>
      </c>
      <c r="AF62" s="202">
        <v>609.29999999999995</v>
      </c>
      <c r="AG62" s="202">
        <v>24</v>
      </c>
      <c r="AH62" s="202">
        <v>5.9</v>
      </c>
      <c r="AI62" s="202">
        <v>13.3</v>
      </c>
      <c r="AJ62" s="202">
        <v>8.6999999999999993</v>
      </c>
      <c r="AK62" s="202">
        <v>128.9</v>
      </c>
      <c r="AL62" s="202">
        <v>229.1</v>
      </c>
      <c r="AM62" s="202">
        <v>13.2</v>
      </c>
      <c r="AN62" s="202">
        <v>0</v>
      </c>
      <c r="AO62" s="201">
        <v>751.6</v>
      </c>
      <c r="AP62" s="202">
        <v>5.9</v>
      </c>
      <c r="AQ62" s="202">
        <v>18.7</v>
      </c>
      <c r="AR62" s="202">
        <v>139.5</v>
      </c>
      <c r="AS62" s="202">
        <v>129.69999999999999</v>
      </c>
      <c r="AT62" s="202">
        <v>17.899999999999999</v>
      </c>
      <c r="AU62" s="202">
        <v>7.3</v>
      </c>
      <c r="AV62" s="202">
        <v>62</v>
      </c>
      <c r="AW62" s="202">
        <v>63.4</v>
      </c>
      <c r="AX62" s="202">
        <v>72.400000000000006</v>
      </c>
      <c r="AY62" s="202">
        <v>200.3</v>
      </c>
      <c r="AZ62" s="202">
        <v>27.1</v>
      </c>
      <c r="BA62" s="202">
        <v>7.7</v>
      </c>
      <c r="BC62" s="200">
        <v>42004</v>
      </c>
      <c r="BD62" s="201">
        <v>59.6</v>
      </c>
      <c r="BE62" s="202">
        <v>217.5</v>
      </c>
      <c r="BF62" s="202">
        <v>-158</v>
      </c>
      <c r="BG62" s="201">
        <v>-242.7</v>
      </c>
      <c r="BH62" s="202">
        <v>8</v>
      </c>
      <c r="BI62" s="202">
        <v>-250.6</v>
      </c>
      <c r="BK62" s="200">
        <v>42004</v>
      </c>
      <c r="BL62" s="201">
        <v>578.20000000000005</v>
      </c>
      <c r="BM62" s="202">
        <v>370.7</v>
      </c>
      <c r="BN62" s="201">
        <v>278.3</v>
      </c>
      <c r="BO62" s="202">
        <v>105.8</v>
      </c>
      <c r="BQ62" s="192">
        <v>39538</v>
      </c>
      <c r="BR62" s="193">
        <v>9841.6781937166797</v>
      </c>
      <c r="BS62" s="193">
        <v>534.2935627768893</v>
      </c>
    </row>
    <row r="63" spans="1:71" ht="14.25" customHeight="1">
      <c r="A63" s="21">
        <v>42094</v>
      </c>
      <c r="B63" s="194">
        <v>2225.3967787057022</v>
      </c>
      <c r="C63" s="194">
        <v>1074.3866499143001</v>
      </c>
      <c r="D63" s="194">
        <v>305.84567629621461</v>
      </c>
      <c r="E63" s="194">
        <v>694.78321655510013</v>
      </c>
      <c r="F63" s="194">
        <v>39.1016993617</v>
      </c>
      <c r="G63" s="194">
        <v>144.44478612256006</v>
      </c>
      <c r="H63" s="194">
        <v>-72.693834393697983</v>
      </c>
      <c r="I63" s="194">
        <v>-89.497775908300014</v>
      </c>
      <c r="J63" s="194">
        <v>-848.11529356138158</v>
      </c>
      <c r="K63" s="195">
        <v>1115.41526</v>
      </c>
      <c r="L63" s="194">
        <v>599.86733511987154</v>
      </c>
      <c r="M63" s="194">
        <v>4013.782701772303</v>
      </c>
      <c r="N63" s="194">
        <v>685.42123735820007</v>
      </c>
      <c r="O63" s="194">
        <v>512.6549226563053</v>
      </c>
      <c r="P63" s="194">
        <v>331.48320607469998</v>
      </c>
      <c r="Q63" s="194">
        <v>398.9139545012456</v>
      </c>
      <c r="R63" s="194">
        <v>454.59989966655468</v>
      </c>
      <c r="S63" s="196">
        <f t="shared" si="0"/>
        <v>-1242.9297463901921</v>
      </c>
      <c r="T63" s="196">
        <f t="shared" si="1"/>
        <v>-1207.9214238172417</v>
      </c>
      <c r="AA63" s="200">
        <v>42094</v>
      </c>
      <c r="AB63" s="201">
        <v>1073.7</v>
      </c>
      <c r="AC63" s="202">
        <v>80.5</v>
      </c>
      <c r="AD63" s="202">
        <v>41.9</v>
      </c>
      <c r="AE63" s="202">
        <v>203.7</v>
      </c>
      <c r="AF63" s="202">
        <v>366</v>
      </c>
      <c r="AG63" s="202">
        <v>28</v>
      </c>
      <c r="AH63" s="202">
        <v>5.2</v>
      </c>
      <c r="AI63" s="202">
        <v>9.1999999999999993</v>
      </c>
      <c r="AJ63" s="202">
        <v>12.1</v>
      </c>
      <c r="AK63" s="202">
        <v>94.8</v>
      </c>
      <c r="AL63" s="202">
        <v>209.1</v>
      </c>
      <c r="AM63" s="202">
        <v>23.2</v>
      </c>
      <c r="AN63" s="202">
        <v>0</v>
      </c>
      <c r="AO63" s="201">
        <v>685.2</v>
      </c>
      <c r="AP63" s="202">
        <v>5.3</v>
      </c>
      <c r="AQ63" s="202">
        <v>13.4</v>
      </c>
      <c r="AR63" s="202">
        <v>129.30000000000001</v>
      </c>
      <c r="AS63" s="202">
        <v>116.4</v>
      </c>
      <c r="AT63" s="202">
        <v>15.5</v>
      </c>
      <c r="AU63" s="202">
        <v>13.9</v>
      </c>
      <c r="AV63" s="202">
        <v>56.1</v>
      </c>
      <c r="AW63" s="202">
        <v>54.8</v>
      </c>
      <c r="AX63" s="202">
        <v>63.4</v>
      </c>
      <c r="AY63" s="202">
        <v>184.3</v>
      </c>
      <c r="AZ63" s="202">
        <v>25.9</v>
      </c>
      <c r="BA63" s="202">
        <v>6.9</v>
      </c>
      <c r="BC63" s="200">
        <v>42094</v>
      </c>
      <c r="BD63" s="201">
        <v>305.8</v>
      </c>
      <c r="BE63" s="202">
        <v>206.7</v>
      </c>
      <c r="BF63" s="202">
        <v>99.1</v>
      </c>
      <c r="BG63" s="201">
        <v>512.20000000000005</v>
      </c>
      <c r="BH63" s="202">
        <v>7</v>
      </c>
      <c r="BI63" s="202">
        <v>505.3</v>
      </c>
      <c r="BK63" s="200">
        <v>42094</v>
      </c>
      <c r="BL63" s="201">
        <v>695</v>
      </c>
      <c r="BM63" s="202">
        <v>501.5</v>
      </c>
      <c r="BN63" s="201">
        <v>331.5</v>
      </c>
      <c r="BO63" s="202">
        <v>95.8</v>
      </c>
      <c r="BQ63" s="192">
        <v>39629</v>
      </c>
      <c r="BR63" s="193">
        <v>9941.1965177451129</v>
      </c>
      <c r="BS63" s="193">
        <v>99.518324028433199</v>
      </c>
    </row>
    <row r="64" spans="1:71" ht="14.25" customHeight="1">
      <c r="A64" s="21">
        <v>42185</v>
      </c>
      <c r="B64" s="194">
        <v>2595.2850339588017</v>
      </c>
      <c r="C64" s="194">
        <v>2358.8403749797003</v>
      </c>
      <c r="D64" s="194">
        <v>309.22918937153383</v>
      </c>
      <c r="E64" s="194">
        <v>671.26300969019997</v>
      </c>
      <c r="F64" s="194">
        <v>73.099181367399993</v>
      </c>
      <c r="G64" s="194">
        <v>82.715521292559899</v>
      </c>
      <c r="H64" s="194">
        <v>51.798110546040988</v>
      </c>
      <c r="I64" s="194">
        <v>68.9360264771</v>
      </c>
      <c r="J64" s="194">
        <v>454.51848796928164</v>
      </c>
      <c r="K64" s="195">
        <v>-322.93179700000007</v>
      </c>
      <c r="L64" s="194">
        <v>479.18465622101797</v>
      </c>
      <c r="M64" s="194">
        <v>4517.9175203837995</v>
      </c>
      <c r="N64" s="194">
        <v>842.9448478618001</v>
      </c>
      <c r="O64" s="194">
        <v>720.42019491687199</v>
      </c>
      <c r="P64" s="194">
        <v>277.07812511279997</v>
      </c>
      <c r="Q64" s="194">
        <v>97.079925360545431</v>
      </c>
      <c r="R64" s="194">
        <v>109.41566661105477</v>
      </c>
      <c r="S64" s="196">
        <f t="shared" si="0"/>
        <v>-423.74308027503594</v>
      </c>
      <c r="T64" s="196">
        <f t="shared" si="1"/>
        <v>257.08151462676415</v>
      </c>
      <c r="AA64" s="200">
        <v>42185</v>
      </c>
      <c r="AB64" s="201">
        <v>2357.1999999999998</v>
      </c>
      <c r="AC64" s="202">
        <v>74.3</v>
      </c>
      <c r="AD64" s="202">
        <v>48.7</v>
      </c>
      <c r="AE64" s="202">
        <v>263.2</v>
      </c>
      <c r="AF64" s="202">
        <v>1534.8</v>
      </c>
      <c r="AG64" s="202">
        <v>30.5</v>
      </c>
      <c r="AH64" s="202">
        <v>4</v>
      </c>
      <c r="AI64" s="202">
        <v>18.399999999999999</v>
      </c>
      <c r="AJ64" s="202">
        <v>8.3000000000000007</v>
      </c>
      <c r="AK64" s="202">
        <v>118.3</v>
      </c>
      <c r="AL64" s="202">
        <v>237.3</v>
      </c>
      <c r="AM64" s="202">
        <v>19.5</v>
      </c>
      <c r="AN64" s="202">
        <v>0</v>
      </c>
      <c r="AO64" s="201">
        <v>842.7</v>
      </c>
      <c r="AP64" s="202">
        <v>6.9</v>
      </c>
      <c r="AQ64" s="202">
        <v>18.899999999999999</v>
      </c>
      <c r="AR64" s="202">
        <v>156.5</v>
      </c>
      <c r="AS64" s="202">
        <v>204.5</v>
      </c>
      <c r="AT64" s="202">
        <v>24</v>
      </c>
      <c r="AU64" s="202">
        <v>8.6</v>
      </c>
      <c r="AV64" s="202">
        <v>58.6</v>
      </c>
      <c r="AW64" s="202">
        <v>58.6</v>
      </c>
      <c r="AX64" s="202">
        <v>88.6</v>
      </c>
      <c r="AY64" s="202">
        <v>185.8</v>
      </c>
      <c r="AZ64" s="202">
        <v>24.4</v>
      </c>
      <c r="BA64" s="202">
        <v>7.3</v>
      </c>
      <c r="BC64" s="200">
        <v>42185</v>
      </c>
      <c r="BD64" s="201">
        <v>309.10000000000002</v>
      </c>
      <c r="BE64" s="202">
        <v>234.5</v>
      </c>
      <c r="BF64" s="202">
        <v>74.599999999999994</v>
      </c>
      <c r="BG64" s="201">
        <v>720.9</v>
      </c>
      <c r="BH64" s="202">
        <v>10.4</v>
      </c>
      <c r="BI64" s="202">
        <v>710.5</v>
      </c>
      <c r="BK64" s="200">
        <v>42185</v>
      </c>
      <c r="BL64" s="201">
        <v>671</v>
      </c>
      <c r="BM64" s="202">
        <v>460.4</v>
      </c>
      <c r="BN64" s="201">
        <v>277</v>
      </c>
      <c r="BO64" s="202">
        <v>96.3</v>
      </c>
      <c r="BQ64" s="192">
        <v>39721</v>
      </c>
      <c r="BR64" s="193">
        <v>9808.73600241247</v>
      </c>
      <c r="BS64" s="193">
        <v>-132.4605153326429</v>
      </c>
    </row>
    <row r="65" spans="1:71" ht="14.25" customHeight="1">
      <c r="A65" s="21">
        <v>42277</v>
      </c>
      <c r="B65" s="194">
        <v>2640.2105345859018</v>
      </c>
      <c r="C65" s="194">
        <v>5547.7509756573991</v>
      </c>
      <c r="D65" s="194">
        <v>351.84605165577642</v>
      </c>
      <c r="E65" s="194">
        <v>604.24989632689983</v>
      </c>
      <c r="F65" s="194">
        <v>72.585125026400007</v>
      </c>
      <c r="G65" s="194">
        <v>225.12887977856008</v>
      </c>
      <c r="H65" s="194">
        <v>149.869407420855</v>
      </c>
      <c r="I65" s="194">
        <v>-22.806678240700002</v>
      </c>
      <c r="J65" s="194">
        <v>2224.023827899156</v>
      </c>
      <c r="K65" s="195">
        <v>-241.97285999999997</v>
      </c>
      <c r="L65" s="194">
        <v>-1138.9732207380353</v>
      </c>
      <c r="M65" s="194">
        <v>4472.7970796520012</v>
      </c>
      <c r="N65" s="194">
        <v>869.67779327470009</v>
      </c>
      <c r="O65" s="194">
        <v>12.428555230229321</v>
      </c>
      <c r="P65" s="194">
        <v>244.20834029940002</v>
      </c>
      <c r="Q65" s="194">
        <v>153.20051109294721</v>
      </c>
      <c r="R65" s="194">
        <v>-297.5155282930869</v>
      </c>
      <c r="S65" s="196">
        <f t="shared" si="0"/>
        <v>3544.9456897696455</v>
      </c>
      <c r="T65" s="196">
        <f t="shared" si="1"/>
        <v>4957.1151881160213</v>
      </c>
      <c r="AA65" s="200">
        <v>42277</v>
      </c>
      <c r="AB65" s="201">
        <v>5539.6</v>
      </c>
      <c r="AC65" s="202">
        <v>61</v>
      </c>
      <c r="AD65" s="202">
        <v>43.7</v>
      </c>
      <c r="AE65" s="202">
        <v>312.10000000000002</v>
      </c>
      <c r="AF65" s="202">
        <v>4640.8999999999996</v>
      </c>
      <c r="AG65" s="202">
        <v>29</v>
      </c>
      <c r="AH65" s="202">
        <v>4.4000000000000004</v>
      </c>
      <c r="AI65" s="202">
        <v>33.1</v>
      </c>
      <c r="AJ65" s="202">
        <v>7.4</v>
      </c>
      <c r="AK65" s="202">
        <v>127.2</v>
      </c>
      <c r="AL65" s="202">
        <v>238.8</v>
      </c>
      <c r="AM65" s="202">
        <v>42.1</v>
      </c>
      <c r="AN65" s="202">
        <v>0</v>
      </c>
      <c r="AO65" s="201">
        <v>868.7</v>
      </c>
      <c r="AP65" s="202">
        <v>4.8</v>
      </c>
      <c r="AQ65" s="202">
        <v>18.2</v>
      </c>
      <c r="AR65" s="202">
        <v>151.80000000000001</v>
      </c>
      <c r="AS65" s="202">
        <v>193.1</v>
      </c>
      <c r="AT65" s="202">
        <v>28</v>
      </c>
      <c r="AU65" s="202">
        <v>5.8</v>
      </c>
      <c r="AV65" s="202">
        <v>94.7</v>
      </c>
      <c r="AW65" s="202">
        <v>58.1</v>
      </c>
      <c r="AX65" s="202">
        <v>75.900000000000006</v>
      </c>
      <c r="AY65" s="202">
        <v>201.4</v>
      </c>
      <c r="AZ65" s="202">
        <v>29</v>
      </c>
      <c r="BA65" s="202">
        <v>8.3000000000000007</v>
      </c>
      <c r="BC65" s="200">
        <v>42277</v>
      </c>
      <c r="BD65" s="201">
        <v>351.8</v>
      </c>
      <c r="BE65" s="202">
        <v>238.5</v>
      </c>
      <c r="BF65" s="202">
        <v>113.4</v>
      </c>
      <c r="BG65" s="201">
        <v>12.5</v>
      </c>
      <c r="BH65" s="202">
        <v>5.8</v>
      </c>
      <c r="BI65" s="202">
        <v>6.9</v>
      </c>
      <c r="BK65" s="200">
        <v>42277</v>
      </c>
      <c r="BL65" s="201">
        <v>603.6</v>
      </c>
      <c r="BM65" s="202">
        <v>393.2</v>
      </c>
      <c r="BN65" s="201">
        <v>243.9</v>
      </c>
      <c r="BO65" s="202">
        <v>108.1</v>
      </c>
      <c r="BQ65" s="192">
        <v>39813</v>
      </c>
      <c r="BR65" s="193">
        <v>9120.9163825494525</v>
      </c>
      <c r="BS65" s="193">
        <v>-687.81961986301758</v>
      </c>
    </row>
    <row r="66" spans="1:71" ht="14.25" customHeight="1">
      <c r="A66" s="21">
        <v>42369</v>
      </c>
      <c r="B66" s="194">
        <v>2732.5769512275006</v>
      </c>
      <c r="C66" s="194">
        <v>1553.3356134241999</v>
      </c>
      <c r="D66" s="194">
        <v>-198.40582455051029</v>
      </c>
      <c r="E66" s="194">
        <v>749.93514155430012</v>
      </c>
      <c r="F66" s="194">
        <v>150.4929949472</v>
      </c>
      <c r="G66" s="194">
        <v>-632.03276027703942</v>
      </c>
      <c r="H66" s="194">
        <v>22.503072048943963</v>
      </c>
      <c r="I66" s="194">
        <v>-86.603370988699993</v>
      </c>
      <c r="J66" s="194">
        <v>-289.75504255656767</v>
      </c>
      <c r="K66" s="195">
        <v>194.83548300000027</v>
      </c>
      <c r="L66" s="194">
        <v>70.451454531611091</v>
      </c>
      <c r="M66" s="194">
        <v>4305.7779636795995</v>
      </c>
      <c r="N66" s="194">
        <v>885.62266339790017</v>
      </c>
      <c r="O66" s="194">
        <v>-199.0009307038481</v>
      </c>
      <c r="P66" s="194">
        <v>270.94698263520002</v>
      </c>
      <c r="Q66" s="194">
        <v>-619.11505414045087</v>
      </c>
      <c r="R66" s="194">
        <v>33.022783241638152</v>
      </c>
      <c r="S66" s="196">
        <f t="shared" si="0"/>
        <v>-425.90479735336157</v>
      </c>
      <c r="T66" s="196">
        <f t="shared" si="1"/>
        <v>-409.92069574910056</v>
      </c>
      <c r="AA66" s="200">
        <v>42369</v>
      </c>
      <c r="AB66" s="201">
        <v>1552.6</v>
      </c>
      <c r="AC66" s="202">
        <v>61.1</v>
      </c>
      <c r="AD66" s="202">
        <v>44.3</v>
      </c>
      <c r="AE66" s="202">
        <v>238.4</v>
      </c>
      <c r="AF66" s="202">
        <v>668.5</v>
      </c>
      <c r="AG66" s="202">
        <v>29</v>
      </c>
      <c r="AH66" s="202">
        <v>5.2</v>
      </c>
      <c r="AI66" s="202">
        <v>14.7</v>
      </c>
      <c r="AJ66" s="202">
        <v>13.1</v>
      </c>
      <c r="AK66" s="202">
        <v>145.19999999999999</v>
      </c>
      <c r="AL66" s="202">
        <v>299.2</v>
      </c>
      <c r="AM66" s="202">
        <v>33.700000000000003</v>
      </c>
      <c r="AN66" s="202">
        <v>0</v>
      </c>
      <c r="AO66" s="201">
        <v>885.2</v>
      </c>
      <c r="AP66" s="202">
        <v>8.6999999999999993</v>
      </c>
      <c r="AQ66" s="202">
        <v>16</v>
      </c>
      <c r="AR66" s="202">
        <v>141.4</v>
      </c>
      <c r="AS66" s="202">
        <v>167.4</v>
      </c>
      <c r="AT66" s="202">
        <v>21.1</v>
      </c>
      <c r="AU66" s="202">
        <v>10.6</v>
      </c>
      <c r="AV66" s="202">
        <v>67.3</v>
      </c>
      <c r="AW66" s="202">
        <v>69.900000000000006</v>
      </c>
      <c r="AX66" s="202">
        <v>98.3</v>
      </c>
      <c r="AY66" s="202">
        <v>247.4</v>
      </c>
      <c r="AZ66" s="202">
        <v>28.2</v>
      </c>
      <c r="BA66" s="202">
        <v>8.8000000000000007</v>
      </c>
      <c r="BC66" s="200">
        <v>42369</v>
      </c>
      <c r="BD66" s="201">
        <v>-198.9</v>
      </c>
      <c r="BE66" s="202">
        <v>246.1</v>
      </c>
      <c r="BF66" s="202">
        <v>-445</v>
      </c>
      <c r="BG66" s="201">
        <v>-198.7</v>
      </c>
      <c r="BH66" s="202">
        <v>6.2</v>
      </c>
      <c r="BI66" s="202">
        <v>-204.9</v>
      </c>
      <c r="BK66" s="200">
        <v>42369</v>
      </c>
      <c r="BL66" s="201">
        <v>749.2</v>
      </c>
      <c r="BM66" s="202">
        <v>521.20000000000005</v>
      </c>
      <c r="BN66" s="201">
        <v>270.89999999999998</v>
      </c>
      <c r="BO66" s="202">
        <v>102.6</v>
      </c>
      <c r="BQ66" s="192">
        <v>39903</v>
      </c>
      <c r="BR66" s="193">
        <v>8869.5485378721569</v>
      </c>
      <c r="BS66" s="193">
        <v>-251.36784467729558</v>
      </c>
    </row>
    <row r="67" spans="1:71" ht="14.25" customHeight="1">
      <c r="A67" s="21">
        <v>42460</v>
      </c>
      <c r="B67" s="194">
        <v>2332.2690439349999</v>
      </c>
      <c r="C67" s="194">
        <v>1163.3283084676</v>
      </c>
      <c r="D67" s="194">
        <v>142.00450383486805</v>
      </c>
      <c r="E67" s="194">
        <v>559.69220822429986</v>
      </c>
      <c r="F67" s="194">
        <v>137.64978583480001</v>
      </c>
      <c r="G67" s="194">
        <v>-43.596970110120374</v>
      </c>
      <c r="H67" s="194">
        <v>-23.034568666537009</v>
      </c>
      <c r="I67" s="194">
        <v>-35.331270348000004</v>
      </c>
      <c r="J67" s="194">
        <v>-253.46610748195371</v>
      </c>
      <c r="K67" s="195">
        <v>-447.68827600000009</v>
      </c>
      <c r="L67" s="194">
        <v>486.27898932540757</v>
      </c>
      <c r="M67" s="194">
        <v>4160.2845779076979</v>
      </c>
      <c r="N67" s="194">
        <v>735.49182770059997</v>
      </c>
      <c r="O67" s="194">
        <v>494.88762686090178</v>
      </c>
      <c r="P67" s="194">
        <v>321.66955880539996</v>
      </c>
      <c r="Q67" s="194">
        <v>452.43176533890744</v>
      </c>
      <c r="R67" s="194">
        <v>-364.43820629289439</v>
      </c>
      <c r="S67" s="196">
        <f t="shared" si="0"/>
        <v>-1515.0395268128323</v>
      </c>
      <c r="T67" s="196">
        <f t="shared" si="1"/>
        <v>-1782.221503305248</v>
      </c>
      <c r="AA67" s="200">
        <v>42460</v>
      </c>
      <c r="AB67" s="201">
        <v>1162.9000000000001</v>
      </c>
      <c r="AC67" s="202">
        <v>65.599999999999994</v>
      </c>
      <c r="AD67" s="202">
        <v>29.3</v>
      </c>
      <c r="AE67" s="202">
        <v>205.2</v>
      </c>
      <c r="AF67" s="202">
        <v>435.3</v>
      </c>
      <c r="AG67" s="202">
        <v>26</v>
      </c>
      <c r="AH67" s="202">
        <v>5.5</v>
      </c>
      <c r="AI67" s="202">
        <v>9.6999999999999993</v>
      </c>
      <c r="AJ67" s="202">
        <v>12.9</v>
      </c>
      <c r="AK67" s="202">
        <v>120.3</v>
      </c>
      <c r="AL67" s="202">
        <v>226.3</v>
      </c>
      <c r="AM67" s="202">
        <v>26.5</v>
      </c>
      <c r="AN67" s="202">
        <v>0</v>
      </c>
      <c r="AO67" s="201">
        <v>735.5</v>
      </c>
      <c r="AP67" s="202">
        <v>7.6</v>
      </c>
      <c r="AQ67" s="202">
        <v>13.5</v>
      </c>
      <c r="AR67" s="202">
        <v>123.1</v>
      </c>
      <c r="AS67" s="202">
        <v>142.19999999999999</v>
      </c>
      <c r="AT67" s="202">
        <v>14.4</v>
      </c>
      <c r="AU67" s="202">
        <v>17.600000000000001</v>
      </c>
      <c r="AV67" s="202">
        <v>69.7</v>
      </c>
      <c r="AW67" s="202">
        <v>52.3</v>
      </c>
      <c r="AX67" s="202">
        <v>69.7</v>
      </c>
      <c r="AY67" s="202">
        <v>182.6</v>
      </c>
      <c r="AZ67" s="202">
        <v>34.9</v>
      </c>
      <c r="BA67" s="202">
        <v>7.9</v>
      </c>
      <c r="BC67" s="200">
        <v>42460</v>
      </c>
      <c r="BD67" s="201">
        <v>142.69999999999999</v>
      </c>
      <c r="BE67" s="202">
        <v>196.1</v>
      </c>
      <c r="BF67" s="202">
        <v>-53.4</v>
      </c>
      <c r="BG67" s="201">
        <v>494.9</v>
      </c>
      <c r="BH67" s="202">
        <v>3.4</v>
      </c>
      <c r="BI67" s="202">
        <v>491.4</v>
      </c>
      <c r="BK67" s="200">
        <v>42460</v>
      </c>
      <c r="BL67" s="201">
        <v>559.70000000000005</v>
      </c>
      <c r="BM67" s="202">
        <v>362</v>
      </c>
      <c r="BN67" s="201">
        <v>321.60000000000002</v>
      </c>
      <c r="BO67" s="202">
        <v>98.7</v>
      </c>
      <c r="BQ67" s="192">
        <v>39994</v>
      </c>
      <c r="BR67" s="193">
        <v>9090.0634055776209</v>
      </c>
      <c r="BS67" s="193">
        <v>220.51486770546398</v>
      </c>
    </row>
    <row r="68" spans="1:71" ht="14.25" customHeight="1">
      <c r="A68" s="21">
        <v>42551</v>
      </c>
      <c r="B68" s="194">
        <v>2632.5262579080008</v>
      </c>
      <c r="C68" s="194">
        <v>2530.4239446523998</v>
      </c>
      <c r="D68" s="194">
        <v>340.68527692897555</v>
      </c>
      <c r="E68" s="194">
        <v>876.81264451470008</v>
      </c>
      <c r="F68" s="194">
        <v>144.60522776029998</v>
      </c>
      <c r="G68" s="194">
        <v>-255.57706893002023</v>
      </c>
      <c r="H68" s="194">
        <v>-409.60880785383813</v>
      </c>
      <c r="I68" s="194">
        <v>-47.331925562099997</v>
      </c>
      <c r="J68" s="194">
        <v>1526.3928397255463</v>
      </c>
      <c r="K68" s="195">
        <v>-388.92530299999999</v>
      </c>
      <c r="L68" s="194">
        <v>572.79828780554533</v>
      </c>
      <c r="M68" s="194">
        <v>4780.505351768199</v>
      </c>
      <c r="N68" s="194">
        <v>859.28040324159963</v>
      </c>
      <c r="O68" s="194">
        <v>633.19545813158425</v>
      </c>
      <c r="P68" s="194">
        <v>251.79704102030004</v>
      </c>
      <c r="Q68" s="194">
        <v>12.82068156990681</v>
      </c>
      <c r="R68" s="194">
        <v>-160.9443325985572</v>
      </c>
      <c r="S68" s="196">
        <f t="shared" si="0"/>
        <v>-144.33013015760662</v>
      </c>
      <c r="T68" s="196">
        <f t="shared" si="1"/>
        <v>1146.1467708164782</v>
      </c>
      <c r="AA68" s="200">
        <v>42551</v>
      </c>
      <c r="AB68" s="201">
        <v>2529.8000000000002</v>
      </c>
      <c r="AC68" s="202">
        <v>74</v>
      </c>
      <c r="AD68" s="202">
        <v>38.799999999999997</v>
      </c>
      <c r="AE68" s="202">
        <v>279.8</v>
      </c>
      <c r="AF68" s="202">
        <v>1651.9</v>
      </c>
      <c r="AG68" s="202">
        <v>30.9</v>
      </c>
      <c r="AH68" s="202">
        <v>4.5</v>
      </c>
      <c r="AI68" s="202">
        <v>18.100000000000001</v>
      </c>
      <c r="AJ68" s="202">
        <v>10.8</v>
      </c>
      <c r="AK68" s="202">
        <v>145.80000000000001</v>
      </c>
      <c r="AL68" s="202">
        <v>254.8</v>
      </c>
      <c r="AM68" s="202">
        <v>20.399999999999999</v>
      </c>
      <c r="AN68" s="202">
        <v>0</v>
      </c>
      <c r="AO68" s="201">
        <v>858.8</v>
      </c>
      <c r="AP68" s="202">
        <v>10.1</v>
      </c>
      <c r="AQ68" s="202">
        <v>13.9</v>
      </c>
      <c r="AR68" s="202">
        <v>144</v>
      </c>
      <c r="AS68" s="202">
        <v>212.3</v>
      </c>
      <c r="AT68" s="202">
        <v>15.2</v>
      </c>
      <c r="AU68" s="202">
        <v>10</v>
      </c>
      <c r="AV68" s="202">
        <v>83.3</v>
      </c>
      <c r="AW68" s="202">
        <v>56.5</v>
      </c>
      <c r="AX68" s="202">
        <v>77.599999999999994</v>
      </c>
      <c r="AY68" s="202">
        <v>203.3</v>
      </c>
      <c r="AZ68" s="202">
        <v>24.9</v>
      </c>
      <c r="BA68" s="202">
        <v>7.6</v>
      </c>
      <c r="BC68" s="200">
        <v>42551</v>
      </c>
      <c r="BD68" s="201">
        <v>340.5</v>
      </c>
      <c r="BE68" s="202">
        <v>336.6</v>
      </c>
      <c r="BF68" s="202">
        <v>3.9</v>
      </c>
      <c r="BG68" s="201">
        <v>632.79999999999995</v>
      </c>
      <c r="BH68" s="202">
        <v>4.5</v>
      </c>
      <c r="BI68" s="202">
        <v>628.29999999999995</v>
      </c>
      <c r="BK68" s="200">
        <v>42551</v>
      </c>
      <c r="BL68" s="201">
        <v>876.3</v>
      </c>
      <c r="BM68" s="202">
        <v>666.4</v>
      </c>
      <c r="BN68" s="201">
        <v>251.7</v>
      </c>
      <c r="BO68" s="202">
        <v>96.3</v>
      </c>
      <c r="BQ68" s="192">
        <v>40086</v>
      </c>
      <c r="BR68" s="193">
        <v>9317.5946912939653</v>
      </c>
      <c r="BS68" s="193">
        <v>227.53128571634443</v>
      </c>
    </row>
    <row r="69" spans="1:71" ht="14.25" customHeight="1">
      <c r="A69" s="21">
        <v>42643</v>
      </c>
      <c r="B69" s="194">
        <v>2628.5633854164994</v>
      </c>
      <c r="C69" s="194">
        <v>6319.3054029523973</v>
      </c>
      <c r="D69" s="194">
        <v>268.98977112139573</v>
      </c>
      <c r="E69" s="194">
        <v>707.20986751750013</v>
      </c>
      <c r="F69" s="194">
        <v>129.47185793579999</v>
      </c>
      <c r="G69" s="194">
        <v>-105.4398344220207</v>
      </c>
      <c r="H69" s="194">
        <v>-4.6543578023510186</v>
      </c>
      <c r="I69" s="194">
        <v>-55.583919432200005</v>
      </c>
      <c r="J69" s="194">
        <v>2248.1933245379437</v>
      </c>
      <c r="K69" s="195">
        <v>141.99169699989994</v>
      </c>
      <c r="L69" s="194">
        <v>-1189.9287485247883</v>
      </c>
      <c r="M69" s="194">
        <v>4611.1351436786017</v>
      </c>
      <c r="N69" s="194">
        <v>975.82610208980032</v>
      </c>
      <c r="O69" s="194">
        <v>854.4259076835425</v>
      </c>
      <c r="P69" s="194">
        <v>303.12678492249995</v>
      </c>
      <c r="Q69" s="194">
        <v>660.58846688490689</v>
      </c>
      <c r="R69" s="194">
        <v>-555.1791550479943</v>
      </c>
      <c r="S69" s="196">
        <f t="shared" si="0"/>
        <v>3179.5544886333491</v>
      </c>
      <c r="T69" s="196">
        <f t="shared" si="1"/>
        <v>4238.1951960887218</v>
      </c>
      <c r="AA69" s="200">
        <v>42643</v>
      </c>
      <c r="AB69" s="201">
        <v>6312</v>
      </c>
      <c r="AC69" s="202">
        <v>89.7</v>
      </c>
      <c r="AD69" s="202">
        <v>33.4</v>
      </c>
      <c r="AE69" s="202">
        <v>331.6</v>
      </c>
      <c r="AF69" s="202">
        <v>5250</v>
      </c>
      <c r="AG69" s="202">
        <v>36</v>
      </c>
      <c r="AH69" s="202">
        <v>4.3</v>
      </c>
      <c r="AI69" s="202">
        <v>39.9</v>
      </c>
      <c r="AJ69" s="202">
        <v>13.1</v>
      </c>
      <c r="AK69" s="202">
        <v>154.4</v>
      </c>
      <c r="AL69" s="202">
        <v>290.3</v>
      </c>
      <c r="AM69" s="202">
        <v>69.400000000000006</v>
      </c>
      <c r="AN69" s="202">
        <v>0</v>
      </c>
      <c r="AO69" s="201">
        <v>974.9</v>
      </c>
      <c r="AP69" s="202">
        <v>8.9</v>
      </c>
      <c r="AQ69" s="202">
        <v>13.7</v>
      </c>
      <c r="AR69" s="202">
        <v>149.69999999999999</v>
      </c>
      <c r="AS69" s="202">
        <v>252.9</v>
      </c>
      <c r="AT69" s="202">
        <v>25.5</v>
      </c>
      <c r="AU69" s="202">
        <v>9.6</v>
      </c>
      <c r="AV69" s="202">
        <v>125.2</v>
      </c>
      <c r="AW69" s="202">
        <v>67.400000000000006</v>
      </c>
      <c r="AX69" s="202">
        <v>84.3</v>
      </c>
      <c r="AY69" s="202">
        <v>202.7</v>
      </c>
      <c r="AZ69" s="202">
        <v>27</v>
      </c>
      <c r="BA69" s="202">
        <v>7.9</v>
      </c>
      <c r="BC69" s="200">
        <v>42643</v>
      </c>
      <c r="BD69" s="201">
        <v>268.60000000000002</v>
      </c>
      <c r="BE69" s="202">
        <v>305.7</v>
      </c>
      <c r="BF69" s="202">
        <v>-37</v>
      </c>
      <c r="BG69" s="201">
        <v>853.8</v>
      </c>
      <c r="BH69" s="202">
        <v>4.9000000000000004</v>
      </c>
      <c r="BI69" s="202">
        <v>848.9</v>
      </c>
      <c r="BK69" s="200">
        <v>42643</v>
      </c>
      <c r="BL69" s="201">
        <v>706.5</v>
      </c>
      <c r="BM69" s="202">
        <v>478.2</v>
      </c>
      <c r="BN69" s="201">
        <v>302.8</v>
      </c>
      <c r="BO69" s="202">
        <v>117.6</v>
      </c>
      <c r="BQ69" s="192">
        <v>40178</v>
      </c>
      <c r="BR69" s="193">
        <v>10375.815685539206</v>
      </c>
      <c r="BS69" s="193">
        <v>1058.2209942452409</v>
      </c>
    </row>
    <row r="70" spans="1:71" ht="14.25" customHeight="1">
      <c r="A70" s="21">
        <v>42735</v>
      </c>
      <c r="B70" s="194">
        <v>2917.2859949731001</v>
      </c>
      <c r="C70" s="194">
        <v>1721.5079124924</v>
      </c>
      <c r="D70" s="194">
        <v>-824.13720143963599</v>
      </c>
      <c r="E70" s="194">
        <v>869.50027634259993</v>
      </c>
      <c r="F70" s="194">
        <v>290.64340570049995</v>
      </c>
      <c r="G70" s="194">
        <v>-1224.5301048498191</v>
      </c>
      <c r="H70" s="194">
        <v>313.71113272791007</v>
      </c>
      <c r="I70" s="194">
        <v>-10.881170067899998</v>
      </c>
      <c r="J70" s="194">
        <v>-982.1410996446549</v>
      </c>
      <c r="K70" s="195">
        <v>429.93825700000002</v>
      </c>
      <c r="L70" s="194">
        <v>-79.691392699416838</v>
      </c>
      <c r="M70" s="194">
        <v>4565.6404804096974</v>
      </c>
      <c r="N70" s="194">
        <v>993.3867751334999</v>
      </c>
      <c r="O70" s="194">
        <v>-669.13023071226178</v>
      </c>
      <c r="P70" s="194">
        <v>320.72676005459999</v>
      </c>
      <c r="Q70" s="194">
        <v>-755.84697263549162</v>
      </c>
      <c r="R70" s="194">
        <v>-402.54122268298386</v>
      </c>
      <c r="S70" s="196">
        <f t="shared" si="0"/>
        <v>-526.46680251707221</v>
      </c>
      <c r="T70" s="196">
        <f t="shared" si="1"/>
        <v>-631.02957903197694</v>
      </c>
      <c r="AA70" s="200">
        <v>42735</v>
      </c>
      <c r="AB70" s="201">
        <v>1719.7</v>
      </c>
      <c r="AC70" s="202">
        <v>71.400000000000006</v>
      </c>
      <c r="AD70" s="202">
        <v>39.200000000000003</v>
      </c>
      <c r="AE70" s="202">
        <v>260.10000000000002</v>
      </c>
      <c r="AF70" s="202">
        <v>753.1</v>
      </c>
      <c r="AG70" s="202">
        <v>39.299999999999997</v>
      </c>
      <c r="AH70" s="202">
        <v>4.0999999999999996</v>
      </c>
      <c r="AI70" s="202">
        <v>17</v>
      </c>
      <c r="AJ70" s="202">
        <v>10.1</v>
      </c>
      <c r="AK70" s="202">
        <v>177.6</v>
      </c>
      <c r="AL70" s="202">
        <v>310.10000000000002</v>
      </c>
      <c r="AM70" s="202">
        <v>37.799999999999997</v>
      </c>
      <c r="AN70" s="202">
        <v>0</v>
      </c>
      <c r="AO70" s="201">
        <v>992.7</v>
      </c>
      <c r="AP70" s="202">
        <v>9.8000000000000007</v>
      </c>
      <c r="AQ70" s="202">
        <v>16</v>
      </c>
      <c r="AR70" s="202">
        <v>150.1</v>
      </c>
      <c r="AS70" s="202">
        <v>245.7</v>
      </c>
      <c r="AT70" s="202">
        <v>22.1</v>
      </c>
      <c r="AU70" s="202">
        <v>9.8000000000000007</v>
      </c>
      <c r="AV70" s="202">
        <v>94.5</v>
      </c>
      <c r="AW70" s="202">
        <v>67</v>
      </c>
      <c r="AX70" s="202">
        <v>104.7</v>
      </c>
      <c r="AY70" s="202">
        <v>237.4</v>
      </c>
      <c r="AZ70" s="202">
        <v>26.2</v>
      </c>
      <c r="BA70" s="202">
        <v>9.3000000000000007</v>
      </c>
      <c r="BC70" s="200">
        <v>42735</v>
      </c>
      <c r="BD70" s="201">
        <v>-826.2</v>
      </c>
      <c r="BE70" s="202">
        <v>344.3</v>
      </c>
      <c r="BF70" s="202">
        <v>-1170.5</v>
      </c>
      <c r="BG70" s="201">
        <v>-668</v>
      </c>
      <c r="BH70" s="202">
        <v>5.7</v>
      </c>
      <c r="BI70" s="202">
        <v>-673.7</v>
      </c>
      <c r="BK70" s="200">
        <v>42735</v>
      </c>
      <c r="BL70" s="201">
        <v>868.8</v>
      </c>
      <c r="BM70" s="202">
        <v>609</v>
      </c>
      <c r="BN70" s="201">
        <v>320.5</v>
      </c>
      <c r="BO70" s="202">
        <v>110.2</v>
      </c>
      <c r="BQ70" s="192">
        <v>40268</v>
      </c>
      <c r="BR70" s="193">
        <v>10008.111192698574</v>
      </c>
      <c r="BS70" s="193">
        <v>-367.70449284063216</v>
      </c>
    </row>
    <row r="71" spans="1:71" ht="14.25" customHeight="1">
      <c r="A71" s="21">
        <v>42825</v>
      </c>
      <c r="B71" s="194">
        <v>2796.4511718741996</v>
      </c>
      <c r="C71" s="194">
        <v>1313.4760751337997</v>
      </c>
      <c r="D71" s="194">
        <v>401.94201138037852</v>
      </c>
      <c r="E71" s="194">
        <v>774.97723819129999</v>
      </c>
      <c r="F71" s="194">
        <v>90.118576514500006</v>
      </c>
      <c r="G71" s="194">
        <v>297.76305736417385</v>
      </c>
      <c r="H71" s="194">
        <v>-39.794629973185977</v>
      </c>
      <c r="I71" s="194">
        <v>10.470241377699999</v>
      </c>
      <c r="J71" s="194">
        <v>-2082.1276483729453</v>
      </c>
      <c r="K71" s="195">
        <v>2653.7549040000004</v>
      </c>
      <c r="L71" s="194">
        <v>797.24742100109836</v>
      </c>
      <c r="M71" s="194">
        <v>4843.7614577940994</v>
      </c>
      <c r="N71" s="194">
        <v>863.45828382820002</v>
      </c>
      <c r="O71" s="194">
        <v>530.72193423175815</v>
      </c>
      <c r="P71" s="194">
        <v>302.72980211390001</v>
      </c>
      <c r="Q71" s="194">
        <v>443.9862485064308</v>
      </c>
      <c r="R71" s="194">
        <v>762.53865976199381</v>
      </c>
      <c r="S71" s="196">
        <f t="shared" si="0"/>
        <v>-1253.8249813882803</v>
      </c>
      <c r="T71" s="196">
        <f t="shared" si="1"/>
        <v>-732.91796774536215</v>
      </c>
      <c r="AA71" s="200">
        <v>42825</v>
      </c>
      <c r="AB71" s="201">
        <v>1313.5</v>
      </c>
      <c r="AC71" s="202">
        <v>74.7</v>
      </c>
      <c r="AD71" s="202">
        <v>46.9</v>
      </c>
      <c r="AE71" s="202">
        <v>225.1</v>
      </c>
      <c r="AF71" s="202">
        <v>463.9</v>
      </c>
      <c r="AG71" s="202">
        <v>28.7</v>
      </c>
      <c r="AH71" s="202">
        <v>4.7</v>
      </c>
      <c r="AI71" s="202">
        <v>16.100000000000001</v>
      </c>
      <c r="AJ71" s="202">
        <v>13.8</v>
      </c>
      <c r="AK71" s="202">
        <v>141.19999999999999</v>
      </c>
      <c r="AL71" s="202">
        <v>250.4</v>
      </c>
      <c r="AM71" s="202">
        <v>48.1</v>
      </c>
      <c r="AN71" s="202">
        <v>0</v>
      </c>
      <c r="AO71" s="201">
        <v>863.4</v>
      </c>
      <c r="AP71" s="202">
        <v>11.2</v>
      </c>
      <c r="AQ71" s="202">
        <v>20.100000000000001</v>
      </c>
      <c r="AR71" s="202">
        <v>142.4</v>
      </c>
      <c r="AS71" s="202">
        <v>210.1</v>
      </c>
      <c r="AT71" s="202">
        <v>13.7</v>
      </c>
      <c r="AU71" s="202">
        <v>17.399999999999999</v>
      </c>
      <c r="AV71" s="202">
        <v>87.3</v>
      </c>
      <c r="AW71" s="202">
        <v>52.2</v>
      </c>
      <c r="AX71" s="202">
        <v>81.3</v>
      </c>
      <c r="AY71" s="202">
        <v>192.5</v>
      </c>
      <c r="AZ71" s="202">
        <v>27.2</v>
      </c>
      <c r="BA71" s="202">
        <v>7.9</v>
      </c>
      <c r="BC71" s="200">
        <v>42825</v>
      </c>
      <c r="BD71" s="201">
        <v>401.6</v>
      </c>
      <c r="BE71" s="202">
        <v>311.10000000000002</v>
      </c>
      <c r="BF71" s="202">
        <v>90.5</v>
      </c>
      <c r="BG71" s="201">
        <v>530.70000000000005</v>
      </c>
      <c r="BH71" s="202">
        <v>4.5999999999999996</v>
      </c>
      <c r="BI71" s="202">
        <v>526.20000000000005</v>
      </c>
      <c r="BK71" s="200">
        <v>42825</v>
      </c>
      <c r="BL71" s="201">
        <v>774.8</v>
      </c>
      <c r="BM71" s="202">
        <v>547.1</v>
      </c>
      <c r="BN71" s="201">
        <v>302.7</v>
      </c>
      <c r="BO71" s="202">
        <v>107.4</v>
      </c>
      <c r="BQ71" s="192">
        <v>40359</v>
      </c>
      <c r="BR71" s="193">
        <v>10305.171023149778</v>
      </c>
      <c r="BS71" s="193">
        <v>297.05983045120411</v>
      </c>
    </row>
    <row r="72" spans="1:71" ht="14.25" customHeight="1">
      <c r="A72" s="21">
        <v>42916</v>
      </c>
      <c r="B72" s="194">
        <v>2854.549341765497</v>
      </c>
      <c r="C72" s="194">
        <v>2941.4469883960001</v>
      </c>
      <c r="D72" s="194">
        <v>461.44155400384324</v>
      </c>
      <c r="E72" s="194">
        <v>847.25691305190026</v>
      </c>
      <c r="F72" s="194">
        <v>206.64560564739998</v>
      </c>
      <c r="G72" s="194">
        <v>57.606841659073687</v>
      </c>
      <c r="H72" s="194">
        <v>40.914967753210021</v>
      </c>
      <c r="I72" s="194">
        <v>-289.30273076809999</v>
      </c>
      <c r="J72" s="194">
        <v>1194.5753458835857</v>
      </c>
      <c r="K72" s="195">
        <v>-1883.2567770000001</v>
      </c>
      <c r="L72" s="194">
        <v>316.42483050983003</v>
      </c>
      <c r="M72" s="194">
        <v>5253.8434441660984</v>
      </c>
      <c r="N72" s="194">
        <v>972.29342824469973</v>
      </c>
      <c r="O72" s="194">
        <v>763.98623535439799</v>
      </c>
      <c r="P72" s="194">
        <v>305.58371549499998</v>
      </c>
      <c r="Q72" s="194">
        <v>194.95421119503163</v>
      </c>
      <c r="R72" s="194">
        <v>-1406.4749737815368</v>
      </c>
      <c r="S72" s="196">
        <f t="shared" si="0"/>
        <v>-191.01202604295486</v>
      </c>
      <c r="T72" s="196">
        <f t="shared" si="1"/>
        <v>664.11682022854984</v>
      </c>
      <c r="AA72" s="200">
        <v>42916</v>
      </c>
      <c r="AB72" s="201">
        <v>2938</v>
      </c>
      <c r="AC72" s="202">
        <v>74.400000000000006</v>
      </c>
      <c r="AD72" s="202">
        <v>53.2</v>
      </c>
      <c r="AE72" s="202">
        <v>303.10000000000002</v>
      </c>
      <c r="AF72" s="202">
        <v>1941.9</v>
      </c>
      <c r="AG72" s="202">
        <v>34.6</v>
      </c>
      <c r="AH72" s="202">
        <v>5.2</v>
      </c>
      <c r="AI72" s="202">
        <v>25.8</v>
      </c>
      <c r="AJ72" s="202">
        <v>10.9</v>
      </c>
      <c r="AK72" s="202">
        <v>160</v>
      </c>
      <c r="AL72" s="202">
        <v>286.8</v>
      </c>
      <c r="AM72" s="202">
        <v>41.9</v>
      </c>
      <c r="AN72" s="202">
        <v>0</v>
      </c>
      <c r="AO72" s="201">
        <v>971.5</v>
      </c>
      <c r="AP72" s="202">
        <v>12</v>
      </c>
      <c r="AQ72" s="202">
        <v>23.8</v>
      </c>
      <c r="AR72" s="202">
        <v>169.1</v>
      </c>
      <c r="AS72" s="202">
        <v>269.5</v>
      </c>
      <c r="AT72" s="202">
        <v>19.399999999999999</v>
      </c>
      <c r="AU72" s="202">
        <v>12.8</v>
      </c>
      <c r="AV72" s="202">
        <v>77.8</v>
      </c>
      <c r="AW72" s="202">
        <v>59.9</v>
      </c>
      <c r="AX72" s="202">
        <v>76.7</v>
      </c>
      <c r="AY72" s="202">
        <v>212.8</v>
      </c>
      <c r="AZ72" s="202">
        <v>28.1</v>
      </c>
      <c r="BA72" s="202">
        <v>9.6</v>
      </c>
      <c r="BC72" s="200">
        <v>42916</v>
      </c>
      <c r="BD72" s="201">
        <v>461.3</v>
      </c>
      <c r="BE72" s="202">
        <v>347.4</v>
      </c>
      <c r="BF72" s="202">
        <v>113.9</v>
      </c>
      <c r="BG72" s="201">
        <v>764.5</v>
      </c>
      <c r="BH72" s="202">
        <v>5.9</v>
      </c>
      <c r="BI72" s="202">
        <v>758.7</v>
      </c>
      <c r="BK72" s="200">
        <v>42916</v>
      </c>
      <c r="BL72" s="201">
        <v>846.9</v>
      </c>
      <c r="BM72" s="202">
        <v>569.79999999999995</v>
      </c>
      <c r="BN72" s="201">
        <v>305.39999999999998</v>
      </c>
      <c r="BO72" s="202">
        <v>98.7</v>
      </c>
      <c r="BQ72" s="192">
        <v>40451</v>
      </c>
      <c r="BR72" s="193">
        <v>11154.383806948561</v>
      </c>
      <c r="BS72" s="193">
        <v>849.21278379878277</v>
      </c>
    </row>
    <row r="73" spans="1:71" ht="14.25" customHeight="1">
      <c r="A73" s="21">
        <v>43008</v>
      </c>
      <c r="B73" s="194">
        <v>2913.4375201110993</v>
      </c>
      <c r="C73" s="194">
        <v>6851.1022925558027</v>
      </c>
      <c r="D73" s="194">
        <v>455.22583023447385</v>
      </c>
      <c r="E73" s="194">
        <v>741.74342078599989</v>
      </c>
      <c r="F73" s="194">
        <v>98.952835442899996</v>
      </c>
      <c r="G73" s="194">
        <v>290.32806195827408</v>
      </c>
      <c r="H73" s="194">
        <v>201.42399211551901</v>
      </c>
      <c r="I73" s="194">
        <v>-81.655153761299999</v>
      </c>
      <c r="J73" s="194">
        <v>1751.1332174869895</v>
      </c>
      <c r="K73" s="195">
        <v>1009.935355</v>
      </c>
      <c r="L73" s="194">
        <v>-918.92361312804951</v>
      </c>
      <c r="M73" s="194">
        <v>5130.6349240614982</v>
      </c>
      <c r="N73" s="194">
        <v>1103.1427259133</v>
      </c>
      <c r="O73" s="194">
        <v>728.15618451371472</v>
      </c>
      <c r="P73" s="194">
        <v>303.21305703430005</v>
      </c>
      <c r="Q73" s="194">
        <v>578.72869429093112</v>
      </c>
      <c r="R73" s="194">
        <v>-283.95461597086222</v>
      </c>
      <c r="S73" s="196">
        <f t="shared" si="0"/>
        <v>3696.362172164565</v>
      </c>
      <c r="T73" s="196">
        <f t="shared" si="1"/>
        <v>5752.7827889588307</v>
      </c>
      <c r="AA73" s="200">
        <v>43008</v>
      </c>
      <c r="AB73" s="201">
        <v>6837.2</v>
      </c>
      <c r="AC73" s="202">
        <v>70.599999999999994</v>
      </c>
      <c r="AD73" s="202">
        <v>39.9</v>
      </c>
      <c r="AE73" s="202">
        <v>359.5</v>
      </c>
      <c r="AF73" s="202">
        <v>5749.8</v>
      </c>
      <c r="AG73" s="202">
        <v>31</v>
      </c>
      <c r="AH73" s="202">
        <v>4.4000000000000004</v>
      </c>
      <c r="AI73" s="202">
        <v>55.7</v>
      </c>
      <c r="AJ73" s="202">
        <v>10.8</v>
      </c>
      <c r="AK73" s="202">
        <v>188.2</v>
      </c>
      <c r="AL73" s="202">
        <v>290.2</v>
      </c>
      <c r="AM73" s="202">
        <v>36.9</v>
      </c>
      <c r="AN73" s="202">
        <v>0</v>
      </c>
      <c r="AO73" s="201">
        <v>1101.5999999999999</v>
      </c>
      <c r="AP73" s="202">
        <v>10</v>
      </c>
      <c r="AQ73" s="202">
        <v>14.7</v>
      </c>
      <c r="AR73" s="202">
        <v>170.3</v>
      </c>
      <c r="AS73" s="202">
        <v>356</v>
      </c>
      <c r="AT73" s="202">
        <v>19.100000000000001</v>
      </c>
      <c r="AU73" s="202">
        <v>11.2</v>
      </c>
      <c r="AV73" s="202">
        <v>84.8</v>
      </c>
      <c r="AW73" s="202">
        <v>77.7</v>
      </c>
      <c r="AX73" s="202">
        <v>102.1</v>
      </c>
      <c r="AY73" s="202">
        <v>215.2</v>
      </c>
      <c r="AZ73" s="202">
        <v>31.9</v>
      </c>
      <c r="BA73" s="202">
        <v>8.8000000000000007</v>
      </c>
      <c r="BC73" s="200">
        <v>43008</v>
      </c>
      <c r="BD73" s="201">
        <v>455</v>
      </c>
      <c r="BE73" s="202">
        <v>348.1</v>
      </c>
      <c r="BF73" s="202">
        <v>106.9</v>
      </c>
      <c r="BG73" s="201">
        <v>728</v>
      </c>
      <c r="BH73" s="202">
        <v>6.3</v>
      </c>
      <c r="BI73" s="202">
        <v>721.6</v>
      </c>
      <c r="BK73" s="200">
        <v>43008</v>
      </c>
      <c r="BL73" s="201">
        <v>740.9</v>
      </c>
      <c r="BM73" s="202">
        <v>498.9</v>
      </c>
      <c r="BN73" s="201">
        <v>303</v>
      </c>
      <c r="BO73" s="202">
        <v>121.3</v>
      </c>
      <c r="BQ73" s="192">
        <v>40543</v>
      </c>
      <c r="BR73" s="193">
        <v>10660.30417664016</v>
      </c>
      <c r="BS73" s="193">
        <v>-494.07963030840074</v>
      </c>
    </row>
    <row r="74" spans="1:71" ht="14.25" customHeight="1">
      <c r="A74" s="21">
        <v>43100</v>
      </c>
      <c r="B74" s="194">
        <v>3147.6961424383016</v>
      </c>
      <c r="C74" s="194">
        <v>1797.8534578043993</v>
      </c>
      <c r="D74" s="194">
        <v>-888.23250070434347</v>
      </c>
      <c r="E74" s="194">
        <v>910.11857961210012</v>
      </c>
      <c r="F74" s="194">
        <v>142.04048073709998</v>
      </c>
      <c r="G74" s="194">
        <v>-1318.4713931591266</v>
      </c>
      <c r="H74" s="194">
        <v>227.90072221579788</v>
      </c>
      <c r="I74" s="194">
        <v>-10.993971457500006</v>
      </c>
      <c r="J74" s="194">
        <v>38.349625487087849</v>
      </c>
      <c r="K74" s="195">
        <v>812.70644700000003</v>
      </c>
      <c r="L74" s="194">
        <v>-29.235682769950813</v>
      </c>
      <c r="M74" s="194">
        <v>4931.8270487987047</v>
      </c>
      <c r="N74" s="194">
        <v>1173.4140258710997</v>
      </c>
      <c r="O74" s="194">
        <v>-871.91198661838109</v>
      </c>
      <c r="P74" s="194">
        <v>307.04690441899993</v>
      </c>
      <c r="Q74" s="194">
        <v>-757.2922015179729</v>
      </c>
      <c r="R74" s="194">
        <v>966.91914695704838</v>
      </c>
      <c r="S74" s="196">
        <f t="shared" si="0"/>
        <v>-572.94031331996575</v>
      </c>
      <c r="T74" s="196">
        <f t="shared" si="1"/>
        <v>-920.27103070563317</v>
      </c>
      <c r="AA74" s="200">
        <v>43100</v>
      </c>
      <c r="AB74" s="201">
        <v>1796.3</v>
      </c>
      <c r="AC74" s="202">
        <v>82</v>
      </c>
      <c r="AD74" s="202">
        <v>45.5</v>
      </c>
      <c r="AE74" s="202">
        <v>258.3</v>
      </c>
      <c r="AF74" s="202">
        <v>787.4</v>
      </c>
      <c r="AG74" s="202">
        <v>31.6</v>
      </c>
      <c r="AH74" s="202">
        <v>5.7</v>
      </c>
      <c r="AI74" s="202">
        <v>21.8</v>
      </c>
      <c r="AJ74" s="202">
        <v>12.5</v>
      </c>
      <c r="AK74" s="202">
        <v>188.5</v>
      </c>
      <c r="AL74" s="202">
        <v>336.5</v>
      </c>
      <c r="AM74" s="202">
        <v>26</v>
      </c>
      <c r="AN74" s="202">
        <v>0</v>
      </c>
      <c r="AO74" s="201">
        <v>1172.8</v>
      </c>
      <c r="AP74" s="202">
        <v>10.6</v>
      </c>
      <c r="AQ74" s="202">
        <v>16.2</v>
      </c>
      <c r="AR74" s="202">
        <v>160.5</v>
      </c>
      <c r="AS74" s="202">
        <v>365.7</v>
      </c>
      <c r="AT74" s="202">
        <v>18.100000000000001</v>
      </c>
      <c r="AU74" s="202">
        <v>12.1</v>
      </c>
      <c r="AV74" s="202">
        <v>94.4</v>
      </c>
      <c r="AW74" s="202">
        <v>80.400000000000006</v>
      </c>
      <c r="AX74" s="202">
        <v>105.8</v>
      </c>
      <c r="AY74" s="202">
        <v>268.8</v>
      </c>
      <c r="AZ74" s="202">
        <v>33.200000000000003</v>
      </c>
      <c r="BA74" s="202">
        <v>6.8</v>
      </c>
      <c r="BC74" s="200">
        <v>43100</v>
      </c>
      <c r="BD74" s="201">
        <v>-890.1</v>
      </c>
      <c r="BE74" s="202">
        <v>359.8</v>
      </c>
      <c r="BF74" s="202">
        <v>-1249.9000000000001</v>
      </c>
      <c r="BG74" s="201">
        <v>-870.9</v>
      </c>
      <c r="BH74" s="202">
        <v>5.2</v>
      </c>
      <c r="BI74" s="202">
        <v>-876</v>
      </c>
      <c r="BK74" s="200">
        <v>43100</v>
      </c>
      <c r="BL74" s="201">
        <v>910</v>
      </c>
      <c r="BM74" s="202">
        <v>633.20000000000005</v>
      </c>
      <c r="BN74" s="201">
        <v>306.89999999999998</v>
      </c>
      <c r="BO74" s="202">
        <v>110.1</v>
      </c>
      <c r="BQ74" s="192">
        <v>40633</v>
      </c>
      <c r="BR74" s="193">
        <v>11423.833909730996</v>
      </c>
      <c r="BS74" s="193">
        <v>763.52973309083609</v>
      </c>
    </row>
    <row r="75" spans="1:71" ht="14.25" customHeight="1">
      <c r="A75" s="21">
        <v>43190</v>
      </c>
      <c r="B75" s="194">
        <v>2750.7861756584002</v>
      </c>
      <c r="C75" s="194">
        <v>1349.6206335080997</v>
      </c>
      <c r="D75" s="194">
        <v>407.6560120704375</v>
      </c>
      <c r="E75" s="194">
        <v>807.94075975770011</v>
      </c>
      <c r="F75" s="194">
        <v>122.40188855780002</v>
      </c>
      <c r="G75" s="194">
        <v>137.85556497224638</v>
      </c>
      <c r="H75" s="194">
        <v>205.70574944935791</v>
      </c>
      <c r="I75" s="194">
        <v>82.929248627599989</v>
      </c>
      <c r="J75" s="194">
        <v>-1608.7397978858569</v>
      </c>
      <c r="K75" s="195">
        <v>785.75924904999999</v>
      </c>
      <c r="L75" s="194">
        <v>763.25865401996271</v>
      </c>
      <c r="M75" s="194">
        <v>5193.1836695021966</v>
      </c>
      <c r="N75" s="194">
        <v>1008.0949103921</v>
      </c>
      <c r="O75" s="194">
        <v>601.54264085141267</v>
      </c>
      <c r="P75" s="194">
        <v>334.98690287400001</v>
      </c>
      <c r="Q75" s="194">
        <v>565.27026300156774</v>
      </c>
      <c r="R75" s="194">
        <v>-25.616248740911693</v>
      </c>
      <c r="S75" s="196">
        <f t="shared" si="0"/>
        <v>-1821.8045426250728</v>
      </c>
      <c r="T75" s="196">
        <f t="shared" si="1"/>
        <v>-1872.2880000946179</v>
      </c>
      <c r="AA75" s="200">
        <v>43190</v>
      </c>
      <c r="AB75" s="201">
        <v>1348.9</v>
      </c>
      <c r="AC75" s="202">
        <v>75.400000000000006</v>
      </c>
      <c r="AD75" s="202">
        <v>30.4</v>
      </c>
      <c r="AE75" s="202">
        <v>231.9</v>
      </c>
      <c r="AF75" s="202">
        <v>468.5</v>
      </c>
      <c r="AG75" s="202">
        <v>46.7</v>
      </c>
      <c r="AH75" s="202">
        <v>5.9</v>
      </c>
      <c r="AI75" s="202">
        <v>17.899999999999999</v>
      </c>
      <c r="AJ75" s="202">
        <v>12.5</v>
      </c>
      <c r="AK75" s="202">
        <v>160.5</v>
      </c>
      <c r="AL75" s="202">
        <v>271.39999999999998</v>
      </c>
      <c r="AM75" s="202">
        <v>27.8</v>
      </c>
      <c r="AN75" s="202">
        <v>0</v>
      </c>
      <c r="AO75" s="201">
        <v>1007.3</v>
      </c>
      <c r="AP75" s="202">
        <v>14.7</v>
      </c>
      <c r="AQ75" s="202">
        <v>14.1</v>
      </c>
      <c r="AR75" s="202">
        <v>151.69999999999999</v>
      </c>
      <c r="AS75" s="202">
        <v>295.8</v>
      </c>
      <c r="AT75" s="202">
        <v>28.2</v>
      </c>
      <c r="AU75" s="202">
        <v>24.5</v>
      </c>
      <c r="AV75" s="202">
        <v>71.099999999999994</v>
      </c>
      <c r="AW75" s="202">
        <v>55</v>
      </c>
      <c r="AX75" s="202">
        <v>87.1</v>
      </c>
      <c r="AY75" s="202">
        <v>229.2</v>
      </c>
      <c r="AZ75" s="202">
        <v>27.7</v>
      </c>
      <c r="BA75" s="202">
        <v>8.6</v>
      </c>
      <c r="BC75" s="200">
        <v>43190</v>
      </c>
      <c r="BD75" s="201">
        <v>418.1</v>
      </c>
      <c r="BE75" s="202">
        <v>337.2</v>
      </c>
      <c r="BF75" s="202">
        <v>80.900000000000006</v>
      </c>
      <c r="BG75" s="201">
        <v>603.70000000000005</v>
      </c>
      <c r="BH75" s="202">
        <v>5.8</v>
      </c>
      <c r="BI75" s="202">
        <v>597.9</v>
      </c>
      <c r="BK75" s="200">
        <v>43190</v>
      </c>
      <c r="BL75" s="201">
        <v>797</v>
      </c>
      <c r="BM75" s="202">
        <v>555.5</v>
      </c>
      <c r="BN75" s="201">
        <v>334.9</v>
      </c>
      <c r="BO75" s="202">
        <v>113.6</v>
      </c>
      <c r="BQ75" s="192">
        <v>40724</v>
      </c>
      <c r="BR75" s="193">
        <v>11422.260487426012</v>
      </c>
      <c r="BS75" s="193">
        <v>-1.5734223049839784</v>
      </c>
    </row>
    <row r="76" spans="1:71" ht="14.25" customHeight="1">
      <c r="A76" s="21">
        <v>43281</v>
      </c>
      <c r="B76" s="194">
        <v>3097.8290566184996</v>
      </c>
      <c r="C76" s="194">
        <v>3186.9514196974005</v>
      </c>
      <c r="D76" s="194">
        <v>517.09130954906993</v>
      </c>
      <c r="E76" s="194">
        <v>885.08119853510004</v>
      </c>
      <c r="F76" s="194">
        <v>185.3442221215</v>
      </c>
      <c r="G76" s="194">
        <v>69.073808034746534</v>
      </c>
      <c r="H76" s="194">
        <v>-106.84460589369198</v>
      </c>
      <c r="I76" s="194">
        <v>23.301921781899996</v>
      </c>
      <c r="J76" s="194">
        <v>1298.2847303939827</v>
      </c>
      <c r="K76" s="195">
        <v>25.056777919999995</v>
      </c>
      <c r="L76" s="194">
        <v>459.06421692699109</v>
      </c>
      <c r="M76" s="194">
        <v>5569.1984790121014</v>
      </c>
      <c r="N76" s="194">
        <v>1166.086050959</v>
      </c>
      <c r="O76" s="194">
        <v>770.92960013825007</v>
      </c>
      <c r="P76" s="194">
        <v>301.17205712549998</v>
      </c>
      <c r="Q76" s="194">
        <v>519.07196020306776</v>
      </c>
      <c r="R76" s="194">
        <v>265.82543582015956</v>
      </c>
      <c r="S76" s="196">
        <f t="shared" si="0"/>
        <v>-120.4332028347817</v>
      </c>
      <c r="T76" s="196">
        <f t="shared" si="1"/>
        <v>1047.9504724274193</v>
      </c>
      <c r="AA76" s="200">
        <v>43281</v>
      </c>
      <c r="AB76" s="201">
        <v>3182.4</v>
      </c>
      <c r="AC76" s="202">
        <v>81.5</v>
      </c>
      <c r="AD76" s="202">
        <v>44.1</v>
      </c>
      <c r="AE76" s="202">
        <v>311.3</v>
      </c>
      <c r="AF76" s="202">
        <v>2120.6</v>
      </c>
      <c r="AG76" s="202">
        <v>56</v>
      </c>
      <c r="AH76" s="202">
        <v>3.4</v>
      </c>
      <c r="AI76" s="202">
        <v>31.4</v>
      </c>
      <c r="AJ76" s="202">
        <v>19.7</v>
      </c>
      <c r="AK76" s="202">
        <v>186</v>
      </c>
      <c r="AL76" s="202">
        <v>307.5</v>
      </c>
      <c r="AM76" s="202">
        <v>21</v>
      </c>
      <c r="AN76" s="202">
        <v>0</v>
      </c>
      <c r="AO76" s="201">
        <v>1164.2</v>
      </c>
      <c r="AP76" s="202">
        <v>14.1</v>
      </c>
      <c r="AQ76" s="202">
        <v>14.9</v>
      </c>
      <c r="AR76" s="202">
        <v>169.6</v>
      </c>
      <c r="AS76" s="202">
        <v>403</v>
      </c>
      <c r="AT76" s="202">
        <v>33.799999999999997</v>
      </c>
      <c r="AU76" s="202">
        <v>10.3</v>
      </c>
      <c r="AV76" s="202">
        <v>73.5</v>
      </c>
      <c r="AW76" s="202">
        <v>66.2</v>
      </c>
      <c r="AX76" s="202">
        <v>97.5</v>
      </c>
      <c r="AY76" s="202">
        <v>245.5</v>
      </c>
      <c r="AZ76" s="202">
        <v>29.2</v>
      </c>
      <c r="BA76" s="202">
        <v>6.6</v>
      </c>
      <c r="BC76" s="200">
        <v>43281</v>
      </c>
      <c r="BD76" s="201">
        <v>527.29999999999995</v>
      </c>
      <c r="BE76" s="202">
        <v>386.7</v>
      </c>
      <c r="BF76" s="202">
        <v>140.6</v>
      </c>
      <c r="BG76" s="201">
        <v>765.5</v>
      </c>
      <c r="BH76" s="202">
        <v>9.5</v>
      </c>
      <c r="BI76" s="202">
        <v>756.2</v>
      </c>
      <c r="BK76" s="200">
        <v>43281</v>
      </c>
      <c r="BL76" s="201">
        <v>873.9</v>
      </c>
      <c r="BM76" s="202">
        <v>623.6</v>
      </c>
      <c r="BN76" s="201">
        <v>301</v>
      </c>
      <c r="BO76" s="202">
        <v>106</v>
      </c>
      <c r="BQ76" s="192">
        <v>40816</v>
      </c>
      <c r="BR76" s="193">
        <v>11323.837183168856</v>
      </c>
      <c r="BS76" s="193">
        <v>-98.423304257155905</v>
      </c>
    </row>
    <row r="77" spans="1:71" ht="14.25" customHeight="1">
      <c r="A77" s="21">
        <v>43373</v>
      </c>
      <c r="B77" s="194">
        <v>3169.3732585570006</v>
      </c>
      <c r="C77" s="194">
        <v>7346.2716277776044</v>
      </c>
      <c r="D77" s="194">
        <v>480.89162860077408</v>
      </c>
      <c r="E77" s="194">
        <v>787.08568686730007</v>
      </c>
      <c r="F77" s="194">
        <v>150.27553707619998</v>
      </c>
      <c r="G77" s="194">
        <v>131.54686929754661</v>
      </c>
      <c r="H77" s="194">
        <v>312.68971757225688</v>
      </c>
      <c r="I77" s="194">
        <v>-15.228233243200002</v>
      </c>
      <c r="J77" s="194">
        <v>1723.0376751036003</v>
      </c>
      <c r="K77" s="195">
        <v>12.786647849999964</v>
      </c>
      <c r="L77" s="194">
        <v>-1234.8393742853109</v>
      </c>
      <c r="M77" s="194">
        <v>5551.0616877569046</v>
      </c>
      <c r="N77" s="194">
        <v>1236.6211725283003</v>
      </c>
      <c r="O77" s="194">
        <v>866.26056307918691</v>
      </c>
      <c r="P77" s="194">
        <v>331.60904038039996</v>
      </c>
      <c r="Q77" s="194">
        <v>115.56039718326758</v>
      </c>
      <c r="R77" s="194">
        <v>-664.23362145184069</v>
      </c>
      <c r="S77" s="196">
        <f t="shared" si="0"/>
        <v>3798.0697380578868</v>
      </c>
      <c r="T77" s="196">
        <f t="shared" si="1"/>
        <v>5427.0118016975521</v>
      </c>
      <c r="AA77" s="200">
        <v>43373</v>
      </c>
      <c r="AB77" s="201">
        <v>7334.9</v>
      </c>
      <c r="AC77" s="202">
        <v>72.900000000000006</v>
      </c>
      <c r="AD77" s="202">
        <v>32</v>
      </c>
      <c r="AE77" s="202">
        <v>383.8</v>
      </c>
      <c r="AF77" s="202">
        <v>6076.5</v>
      </c>
      <c r="AG77" s="202">
        <v>46.8</v>
      </c>
      <c r="AH77" s="202">
        <v>5.3</v>
      </c>
      <c r="AI77" s="202">
        <v>64.599999999999994</v>
      </c>
      <c r="AJ77" s="202">
        <v>12.3</v>
      </c>
      <c r="AK77" s="202">
        <v>218.3</v>
      </c>
      <c r="AL77" s="202">
        <v>337.6</v>
      </c>
      <c r="AM77" s="202">
        <v>84.9</v>
      </c>
      <c r="AN77" s="202">
        <v>0</v>
      </c>
      <c r="AO77" s="201">
        <v>1233.9000000000001</v>
      </c>
      <c r="AP77" s="202">
        <v>9.6</v>
      </c>
      <c r="AQ77" s="202">
        <v>18.5</v>
      </c>
      <c r="AR77" s="202">
        <v>174.5</v>
      </c>
      <c r="AS77" s="202">
        <v>377.5</v>
      </c>
      <c r="AT77" s="202">
        <v>28.2</v>
      </c>
      <c r="AU77" s="202">
        <v>10.199999999999999</v>
      </c>
      <c r="AV77" s="202">
        <v>115.5</v>
      </c>
      <c r="AW77" s="202">
        <v>59.6</v>
      </c>
      <c r="AX77" s="202">
        <v>114.6</v>
      </c>
      <c r="AY77" s="202">
        <v>275.3</v>
      </c>
      <c r="AZ77" s="202">
        <v>42.3</v>
      </c>
      <c r="BA77" s="202">
        <v>8.1</v>
      </c>
      <c r="BC77" s="200">
        <v>43373</v>
      </c>
      <c r="BD77" s="201">
        <v>491.1</v>
      </c>
      <c r="BE77" s="202">
        <v>367.4</v>
      </c>
      <c r="BF77" s="202">
        <v>123.8</v>
      </c>
      <c r="BG77" s="201">
        <v>863.8</v>
      </c>
      <c r="BH77" s="202">
        <v>9.6</v>
      </c>
      <c r="BI77" s="202">
        <v>854.2</v>
      </c>
      <c r="BK77" s="200">
        <v>43373</v>
      </c>
      <c r="BL77" s="201">
        <v>775.3</v>
      </c>
      <c r="BM77" s="202">
        <v>516.4</v>
      </c>
      <c r="BN77" s="201">
        <v>331.3</v>
      </c>
      <c r="BO77" s="202">
        <v>130.5</v>
      </c>
      <c r="BQ77" s="192">
        <v>40908</v>
      </c>
      <c r="BR77" s="193">
        <v>11194.859613033381</v>
      </c>
      <c r="BS77" s="193">
        <v>-128.97757013547562</v>
      </c>
    </row>
    <row r="78" spans="1:71" ht="14.25" customHeight="1">
      <c r="A78" s="21">
        <v>43465</v>
      </c>
      <c r="B78" s="194">
        <v>3215.8076224273987</v>
      </c>
      <c r="C78" s="194">
        <v>1983.8736909422003</v>
      </c>
      <c r="D78" s="194">
        <v>393.84013798376958</v>
      </c>
      <c r="E78" s="194">
        <v>1010.4857816658999</v>
      </c>
      <c r="F78" s="194">
        <v>271.76744691340002</v>
      </c>
      <c r="G78" s="194">
        <v>-76.973230320353949</v>
      </c>
      <c r="H78" s="194">
        <v>-75.118460300157153</v>
      </c>
      <c r="I78" s="194">
        <v>-6.6257360864000034</v>
      </c>
      <c r="J78" s="194">
        <v>-1361.2075263757906</v>
      </c>
      <c r="K78" s="195">
        <v>721.43776332999994</v>
      </c>
      <c r="L78" s="194">
        <v>87.5024999822773</v>
      </c>
      <c r="M78" s="194">
        <v>5559.2963635823971</v>
      </c>
      <c r="N78" s="194">
        <v>1231.4332460783</v>
      </c>
      <c r="O78" s="194">
        <v>361.15467785013846</v>
      </c>
      <c r="P78" s="194">
        <v>325.86650969840002</v>
      </c>
      <c r="Q78" s="194">
        <v>-158.96650303603121</v>
      </c>
      <c r="R78" s="194">
        <v>-125.04706942238072</v>
      </c>
      <c r="S78" s="196">
        <f t="shared" si="0"/>
        <v>-873.7435641899674</v>
      </c>
      <c r="T78" s="196">
        <f t="shared" si="1"/>
        <v>-1028.9472345885806</v>
      </c>
      <c r="AA78" s="200">
        <v>43465</v>
      </c>
      <c r="AB78" s="201">
        <v>1981.9</v>
      </c>
      <c r="AC78" s="202">
        <v>70.8</v>
      </c>
      <c r="AD78" s="202">
        <v>35.9</v>
      </c>
      <c r="AE78" s="202">
        <v>295.8</v>
      </c>
      <c r="AF78" s="202">
        <v>823.1</v>
      </c>
      <c r="AG78" s="202">
        <v>44.5</v>
      </c>
      <c r="AH78" s="202">
        <v>4.4000000000000004</v>
      </c>
      <c r="AI78" s="202">
        <v>23.3</v>
      </c>
      <c r="AJ78" s="202">
        <v>13.2</v>
      </c>
      <c r="AK78" s="202">
        <v>231.1</v>
      </c>
      <c r="AL78" s="202">
        <v>410</v>
      </c>
      <c r="AM78" s="202">
        <v>29.7</v>
      </c>
      <c r="AN78" s="202">
        <v>0</v>
      </c>
      <c r="AO78" s="201">
        <v>1229</v>
      </c>
      <c r="AP78" s="202">
        <v>10.6</v>
      </c>
      <c r="AQ78" s="202">
        <v>16.8</v>
      </c>
      <c r="AR78" s="202">
        <v>173.5</v>
      </c>
      <c r="AS78" s="202">
        <v>358</v>
      </c>
      <c r="AT78" s="202">
        <v>27</v>
      </c>
      <c r="AU78" s="202">
        <v>10.4</v>
      </c>
      <c r="AV78" s="202">
        <v>91</v>
      </c>
      <c r="AW78" s="202">
        <v>83.4</v>
      </c>
      <c r="AX78" s="202">
        <v>116.9</v>
      </c>
      <c r="AY78" s="202">
        <v>299.60000000000002</v>
      </c>
      <c r="AZ78" s="202">
        <v>31.9</v>
      </c>
      <c r="BA78" s="202">
        <v>10</v>
      </c>
      <c r="BC78" s="200">
        <v>43465</v>
      </c>
      <c r="BD78" s="201">
        <v>404.1</v>
      </c>
      <c r="BE78" s="202">
        <v>389.6</v>
      </c>
      <c r="BF78" s="202">
        <v>14.3</v>
      </c>
      <c r="BG78" s="201">
        <v>361.5</v>
      </c>
      <c r="BH78" s="202">
        <v>10</v>
      </c>
      <c r="BI78" s="202">
        <v>351.5</v>
      </c>
      <c r="BK78" s="200">
        <v>43465</v>
      </c>
      <c r="BL78" s="201">
        <v>999.2</v>
      </c>
      <c r="BM78" s="202">
        <v>689</v>
      </c>
      <c r="BN78" s="201">
        <v>325.60000000000002</v>
      </c>
      <c r="BO78" s="202">
        <v>116.9</v>
      </c>
      <c r="BQ78" s="192">
        <v>40999</v>
      </c>
      <c r="BR78" s="193">
        <v>11340.065343263015</v>
      </c>
      <c r="BS78" s="193">
        <v>145.20573022963436</v>
      </c>
    </row>
    <row r="79" spans="1:71" ht="14.25" customHeight="1">
      <c r="A79" s="21">
        <v>43555</v>
      </c>
      <c r="B79" s="194">
        <v>3028.7427890657018</v>
      </c>
      <c r="C79" s="194">
        <v>1431.3612196445004</v>
      </c>
      <c r="D79" s="194">
        <v>353.15210900875064</v>
      </c>
      <c r="E79" s="194">
        <v>881.61714921029989</v>
      </c>
      <c r="F79" s="194">
        <v>202.5482311216</v>
      </c>
      <c r="G79" s="194">
        <v>-6.5986620603358652</v>
      </c>
      <c r="H79" s="194">
        <v>220.15873226240294</v>
      </c>
      <c r="I79" s="194">
        <v>-36.9631318956</v>
      </c>
      <c r="J79" s="194">
        <v>-2060.3336927104747</v>
      </c>
      <c r="K79" s="195">
        <v>725.5415992500001</v>
      </c>
      <c r="L79" s="194">
        <v>413.93859691295893</v>
      </c>
      <c r="M79" s="194">
        <v>5587.1801792120996</v>
      </c>
      <c r="N79" s="194">
        <v>1212.2294916902999</v>
      </c>
      <c r="O79" s="194">
        <v>524.37646365434921</v>
      </c>
      <c r="P79" s="194">
        <v>437.86860053689998</v>
      </c>
      <c r="Q79" s="194">
        <v>493.65714397867566</v>
      </c>
      <c r="R79" s="194">
        <v>-201.55765900284612</v>
      </c>
      <c r="S79" s="196">
        <f t="shared" si="0"/>
        <v>-2066.7814681643958</v>
      </c>
      <c r="T79" s="196">
        <f t="shared" si="1"/>
        <v>-2900.5892802596736</v>
      </c>
      <c r="AA79" s="200">
        <v>43555</v>
      </c>
      <c r="AB79" s="201">
        <v>1392</v>
      </c>
      <c r="AC79" s="202">
        <v>77.5</v>
      </c>
      <c r="AD79" s="202">
        <v>29.6</v>
      </c>
      <c r="AE79" s="202">
        <v>248.9</v>
      </c>
      <c r="AF79" s="202">
        <v>486.1</v>
      </c>
      <c r="AG79" s="202">
        <v>35.6</v>
      </c>
      <c r="AH79" s="202">
        <v>6.7</v>
      </c>
      <c r="AI79" s="202">
        <v>21.8</v>
      </c>
      <c r="AJ79" s="202">
        <v>13.6</v>
      </c>
      <c r="AK79" s="202">
        <v>177.1</v>
      </c>
      <c r="AL79" s="202">
        <v>257.89999999999998</v>
      </c>
      <c r="AM79" s="202">
        <v>36.9</v>
      </c>
      <c r="AN79" s="202">
        <v>0</v>
      </c>
      <c r="AO79" s="201">
        <v>1196.8</v>
      </c>
      <c r="AP79" s="202">
        <v>11.7</v>
      </c>
      <c r="AQ79" s="202">
        <v>10.199999999999999</v>
      </c>
      <c r="AR79" s="202">
        <v>163.19999999999999</v>
      </c>
      <c r="AS79" s="202">
        <v>413.3</v>
      </c>
      <c r="AT79" s="202">
        <v>13.7</v>
      </c>
      <c r="AU79" s="202">
        <v>20.8</v>
      </c>
      <c r="AV79" s="202">
        <v>95.3</v>
      </c>
      <c r="AW79" s="202">
        <v>73</v>
      </c>
      <c r="AX79" s="202">
        <v>99.4</v>
      </c>
      <c r="AY79" s="202">
        <v>260.3</v>
      </c>
      <c r="AZ79" s="202">
        <v>27.4</v>
      </c>
      <c r="BA79" s="202">
        <v>8.5</v>
      </c>
      <c r="BC79" s="200">
        <v>43555</v>
      </c>
      <c r="BD79" s="201">
        <v>361.9</v>
      </c>
      <c r="BE79" s="202">
        <v>353.2</v>
      </c>
      <c r="BF79" s="202">
        <v>8.9</v>
      </c>
      <c r="BG79" s="201">
        <v>524</v>
      </c>
      <c r="BH79" s="202">
        <v>9.6</v>
      </c>
      <c r="BI79" s="202">
        <v>514.29999999999995</v>
      </c>
      <c r="BK79" s="200">
        <v>43555</v>
      </c>
      <c r="BL79" s="201">
        <v>866.4</v>
      </c>
      <c r="BM79" s="202">
        <v>621.4</v>
      </c>
      <c r="BN79" s="201">
        <v>436.3</v>
      </c>
      <c r="BO79" s="202">
        <v>125.6</v>
      </c>
      <c r="BQ79" s="192">
        <v>41090</v>
      </c>
      <c r="BR79" s="193">
        <v>11635.252010371887</v>
      </c>
      <c r="BS79" s="193">
        <v>295.18666710887192</v>
      </c>
    </row>
    <row r="80" spans="1:71" ht="14.25" customHeight="1">
      <c r="A80" s="21">
        <v>43646</v>
      </c>
      <c r="B80" s="194">
        <v>3147.6570745113991</v>
      </c>
      <c r="C80" s="194">
        <v>3583.7380085221002</v>
      </c>
      <c r="D80" s="194">
        <v>591.42996062549889</v>
      </c>
      <c r="E80" s="194">
        <v>985.15079982949999</v>
      </c>
      <c r="F80" s="194">
        <v>373.18811665029995</v>
      </c>
      <c r="G80" s="194">
        <v>102.11391184641728</v>
      </c>
      <c r="H80" s="194">
        <v>16.145067591079993</v>
      </c>
      <c r="I80" s="194">
        <v>-40.377633002899998</v>
      </c>
      <c r="J80" s="194">
        <v>7.553304655647338</v>
      </c>
      <c r="K80" s="195">
        <v>1531.6371312999997</v>
      </c>
      <c r="L80" s="194">
        <v>614.31088203385116</v>
      </c>
      <c r="M80" s="194">
        <v>6154.3605159570061</v>
      </c>
      <c r="N80" s="194">
        <v>1221.5908311027001</v>
      </c>
      <c r="O80" s="194">
        <v>953.39817602702499</v>
      </c>
      <c r="P80" s="194">
        <v>320.13023345490001</v>
      </c>
      <c r="Q80" s="194">
        <v>-19.402932970505873</v>
      </c>
      <c r="R80" s="194">
        <v>990.4796297297321</v>
      </c>
      <c r="S80" s="196">
        <f t="shared" si="0"/>
        <v>-341.50391305313315</v>
      </c>
      <c r="T80" s="196">
        <f t="shared" si="1"/>
        <v>1291.9901712620376</v>
      </c>
      <c r="AA80" s="200">
        <v>43646</v>
      </c>
      <c r="AB80" s="201">
        <v>3344.6</v>
      </c>
      <c r="AC80" s="202">
        <v>82.1</v>
      </c>
      <c r="AD80" s="202">
        <v>34.1</v>
      </c>
      <c r="AE80" s="202">
        <v>330.9</v>
      </c>
      <c r="AF80" s="202">
        <v>2231.1999999999998</v>
      </c>
      <c r="AG80" s="202">
        <v>37.200000000000003</v>
      </c>
      <c r="AH80" s="202">
        <v>8.8000000000000007</v>
      </c>
      <c r="AI80" s="202">
        <v>36.5</v>
      </c>
      <c r="AJ80" s="202">
        <v>15.8</v>
      </c>
      <c r="AK80" s="202">
        <v>199.5</v>
      </c>
      <c r="AL80" s="202">
        <v>326.10000000000002</v>
      </c>
      <c r="AM80" s="202">
        <v>42.3</v>
      </c>
      <c r="AN80" s="202">
        <v>0</v>
      </c>
      <c r="AO80" s="201">
        <v>1198.5</v>
      </c>
      <c r="AP80" s="202">
        <v>12.5</v>
      </c>
      <c r="AQ80" s="202">
        <v>12.5</v>
      </c>
      <c r="AR80" s="202">
        <v>180.8</v>
      </c>
      <c r="AS80" s="202">
        <v>413.7</v>
      </c>
      <c r="AT80" s="202">
        <v>14.8</v>
      </c>
      <c r="AU80" s="202">
        <v>16.3</v>
      </c>
      <c r="AV80" s="202">
        <v>107.7</v>
      </c>
      <c r="AW80" s="202">
        <v>66.599999999999994</v>
      </c>
      <c r="AX80" s="202">
        <v>99.2</v>
      </c>
      <c r="AY80" s="202">
        <v>241.2</v>
      </c>
      <c r="AZ80" s="202">
        <v>25.7</v>
      </c>
      <c r="BA80" s="202">
        <v>7.3</v>
      </c>
      <c r="BC80" s="200">
        <v>43646</v>
      </c>
      <c r="BD80" s="201">
        <v>603.1</v>
      </c>
      <c r="BE80" s="202">
        <v>451.7</v>
      </c>
      <c r="BF80" s="202">
        <v>151.4</v>
      </c>
      <c r="BG80" s="201">
        <v>953</v>
      </c>
      <c r="BH80" s="202">
        <v>9.3000000000000007</v>
      </c>
      <c r="BI80" s="202">
        <v>943.7</v>
      </c>
      <c r="BK80" s="200">
        <v>43646</v>
      </c>
      <c r="BL80" s="201">
        <v>972.6</v>
      </c>
      <c r="BM80" s="202">
        <v>683.4</v>
      </c>
      <c r="BN80" s="201">
        <v>318.39999999999998</v>
      </c>
      <c r="BO80" s="202">
        <v>115.9</v>
      </c>
      <c r="BQ80" s="192">
        <v>41182</v>
      </c>
      <c r="BR80" s="193">
        <v>11383.943599928209</v>
      </c>
      <c r="BS80" s="193">
        <v>-251.30841044367844</v>
      </c>
    </row>
    <row r="81" spans="1:71" ht="14.25" customHeight="1">
      <c r="A81" s="21">
        <v>43738</v>
      </c>
      <c r="B81" s="194">
        <v>3424.3954741478019</v>
      </c>
      <c r="C81" s="194">
        <v>7944.6639963262996</v>
      </c>
      <c r="D81" s="194">
        <v>647.47721923071776</v>
      </c>
      <c r="E81" s="194">
        <v>914.38034365319993</v>
      </c>
      <c r="F81" s="194">
        <v>224.4945916588</v>
      </c>
      <c r="G81" s="194">
        <v>130.40479640282845</v>
      </c>
      <c r="H81" s="194">
        <v>470.81661231459492</v>
      </c>
      <c r="I81" s="194">
        <v>-51.824871172399995</v>
      </c>
      <c r="J81" s="194">
        <v>4351.5205678819639</v>
      </c>
      <c r="K81" s="195">
        <v>365.79429075999991</v>
      </c>
      <c r="L81" s="194">
        <v>-1175.3602344360906</v>
      </c>
      <c r="M81" s="194">
        <v>5809.104008713799</v>
      </c>
      <c r="N81" s="194">
        <v>1290.3677869338999</v>
      </c>
      <c r="O81" s="194">
        <v>891.94631873213734</v>
      </c>
      <c r="P81" s="194">
        <v>368.34176131549992</v>
      </c>
      <c r="Q81" s="194">
        <v>471.87457618405392</v>
      </c>
      <c r="R81" s="194">
        <v>1174.5453051175411</v>
      </c>
      <c r="S81" s="196">
        <f t="shared" si="0"/>
        <v>4571.1571576626829</v>
      </c>
      <c r="T81" s="196">
        <f t="shared" si="1"/>
        <v>7240.5830297707835</v>
      </c>
      <c r="AA81" s="200">
        <v>43738</v>
      </c>
      <c r="AB81" s="201">
        <v>7904.9</v>
      </c>
      <c r="AC81" s="202">
        <v>79.099999999999994</v>
      </c>
      <c r="AD81" s="202">
        <v>30</v>
      </c>
      <c r="AE81" s="202">
        <v>361.7</v>
      </c>
      <c r="AF81" s="202">
        <v>6631.3</v>
      </c>
      <c r="AG81" s="202">
        <v>38</v>
      </c>
      <c r="AH81" s="202">
        <v>9.5</v>
      </c>
      <c r="AI81" s="202">
        <v>77</v>
      </c>
      <c r="AJ81" s="202">
        <v>20.399999999999999</v>
      </c>
      <c r="AK81" s="202">
        <v>236</v>
      </c>
      <c r="AL81" s="202">
        <v>341.9</v>
      </c>
      <c r="AM81" s="202">
        <v>80.2</v>
      </c>
      <c r="AN81" s="202">
        <v>0</v>
      </c>
      <c r="AO81" s="201">
        <v>1278.9000000000001</v>
      </c>
      <c r="AP81" s="202">
        <v>11.2</v>
      </c>
      <c r="AQ81" s="202">
        <v>12.3</v>
      </c>
      <c r="AR81" s="202">
        <v>178.4</v>
      </c>
      <c r="AS81" s="202">
        <v>386</v>
      </c>
      <c r="AT81" s="202">
        <v>23.9</v>
      </c>
      <c r="AU81" s="202">
        <v>15.4</v>
      </c>
      <c r="AV81" s="202">
        <v>147.19999999999999</v>
      </c>
      <c r="AW81" s="202">
        <v>72.5</v>
      </c>
      <c r="AX81" s="202">
        <v>115.4</v>
      </c>
      <c r="AY81" s="202">
        <v>269.2</v>
      </c>
      <c r="AZ81" s="202">
        <v>39.1</v>
      </c>
      <c r="BA81" s="202">
        <v>8.4</v>
      </c>
      <c r="BC81" s="200">
        <v>43738</v>
      </c>
      <c r="BD81" s="201">
        <v>638.9</v>
      </c>
      <c r="BE81" s="202">
        <v>448.5</v>
      </c>
      <c r="BF81" s="202">
        <v>190.3</v>
      </c>
      <c r="BG81" s="201">
        <v>888.7</v>
      </c>
      <c r="BH81" s="202">
        <v>10.5</v>
      </c>
      <c r="BI81" s="202">
        <v>878.1</v>
      </c>
      <c r="BK81" s="200">
        <v>43738</v>
      </c>
      <c r="BL81" s="201">
        <v>912</v>
      </c>
      <c r="BM81" s="202">
        <v>602.70000000000005</v>
      </c>
      <c r="BN81" s="201">
        <v>366.7</v>
      </c>
      <c r="BO81" s="202">
        <v>142.6</v>
      </c>
      <c r="BQ81" s="192">
        <v>41274</v>
      </c>
      <c r="BR81" s="193">
        <v>11235.922633549379</v>
      </c>
      <c r="BS81" s="193">
        <v>-148.02096637883005</v>
      </c>
    </row>
    <row r="82" spans="1:71" ht="14.25" customHeight="1">
      <c r="A82" s="21">
        <v>43830</v>
      </c>
      <c r="B82" s="194">
        <v>3247.4122125522017</v>
      </c>
      <c r="C82" s="194">
        <v>2315.7626346913003</v>
      </c>
      <c r="D82" s="194">
        <v>550.36180514673913</v>
      </c>
      <c r="E82" s="194">
        <v>1092.5875592009004</v>
      </c>
      <c r="F82" s="194">
        <v>316.83123792890001</v>
      </c>
      <c r="G82" s="194">
        <v>-0.89572813042521915</v>
      </c>
      <c r="H82" s="194">
        <v>470.25472743504702</v>
      </c>
      <c r="I82" s="194">
        <v>15.991184189699997</v>
      </c>
      <c r="J82" s="194">
        <v>-272.0201955039571</v>
      </c>
      <c r="K82" s="195">
        <v>-1633.3239852499999</v>
      </c>
      <c r="L82" s="194">
        <v>-123.71930847805208</v>
      </c>
      <c r="M82" s="194">
        <v>5643.2945652754988</v>
      </c>
      <c r="N82" s="194">
        <v>1232.3560930377998</v>
      </c>
      <c r="O82" s="194">
        <v>610.92498811680287</v>
      </c>
      <c r="P82" s="194">
        <v>311.64803040710001</v>
      </c>
      <c r="Q82" s="194">
        <v>291.08581414234806</v>
      </c>
      <c r="R82" s="194">
        <v>-1312.092275606771</v>
      </c>
      <c r="S82" s="196">
        <f t="shared" si="0"/>
        <v>-592.09946524605948</v>
      </c>
      <c r="T82" s="196">
        <f t="shared" si="1"/>
        <v>-797.97507159042379</v>
      </c>
      <c r="V82" s="196"/>
      <c r="W82" s="196"/>
      <c r="AA82" s="200">
        <v>43830</v>
      </c>
      <c r="AB82" s="201">
        <v>2313.8000000000002</v>
      </c>
      <c r="AC82" s="202">
        <v>84.1</v>
      </c>
      <c r="AD82" s="202">
        <v>49.2</v>
      </c>
      <c r="AE82" s="202">
        <v>285.5</v>
      </c>
      <c r="AF82" s="202">
        <v>1102.7</v>
      </c>
      <c r="AG82" s="202">
        <v>47.2</v>
      </c>
      <c r="AH82" s="202">
        <v>7.1</v>
      </c>
      <c r="AI82" s="202">
        <v>26.2</v>
      </c>
      <c r="AJ82" s="202">
        <v>16.7</v>
      </c>
      <c r="AK82" s="202">
        <v>237.4</v>
      </c>
      <c r="AL82" s="202">
        <v>424</v>
      </c>
      <c r="AM82" s="202">
        <v>33.700000000000003</v>
      </c>
      <c r="AN82" s="202">
        <v>0</v>
      </c>
      <c r="AO82" s="201">
        <v>1231.4000000000001</v>
      </c>
      <c r="AP82" s="202">
        <v>12.4</v>
      </c>
      <c r="AQ82" s="202">
        <v>16.8</v>
      </c>
      <c r="AR82" s="202">
        <v>170.9</v>
      </c>
      <c r="AS82" s="202">
        <v>361.3</v>
      </c>
      <c r="AT82" s="202">
        <v>25.1</v>
      </c>
      <c r="AU82" s="202">
        <v>12.2</v>
      </c>
      <c r="AV82" s="202">
        <v>65.7</v>
      </c>
      <c r="AW82" s="202">
        <v>87.6</v>
      </c>
      <c r="AX82" s="202">
        <v>128.1</v>
      </c>
      <c r="AY82" s="202">
        <v>308.2</v>
      </c>
      <c r="AZ82" s="202">
        <v>33.200000000000003</v>
      </c>
      <c r="BA82" s="202">
        <v>9.9</v>
      </c>
      <c r="BC82" s="200">
        <v>43830</v>
      </c>
      <c r="BD82" s="201">
        <v>550.1</v>
      </c>
      <c r="BE82" s="202">
        <v>433.4</v>
      </c>
      <c r="BF82" s="202">
        <v>116.7</v>
      </c>
      <c r="BG82" s="201">
        <v>610.5</v>
      </c>
      <c r="BH82" s="202">
        <v>12.2</v>
      </c>
      <c r="BI82" s="202">
        <v>598.20000000000005</v>
      </c>
      <c r="BK82" s="200">
        <v>43830</v>
      </c>
      <c r="BL82" s="201">
        <v>1091.9000000000001</v>
      </c>
      <c r="BM82" s="202">
        <v>784.1</v>
      </c>
      <c r="BN82" s="201">
        <v>311.5</v>
      </c>
      <c r="BO82" s="202">
        <v>129.69999999999999</v>
      </c>
      <c r="BQ82" s="192">
        <v>41364</v>
      </c>
      <c r="BR82" s="193">
        <v>11276.600196842486</v>
      </c>
      <c r="BS82" s="193">
        <v>40.677563293107596</v>
      </c>
    </row>
    <row r="83" spans="1:71" ht="14.25" customHeight="1">
      <c r="A83" s="231">
        <v>43921</v>
      </c>
      <c r="B83" s="194">
        <f>B79+SUMPRODUCT(C130:T130,$C$135:$T$135)/SUM(C130:T130)*B79*bdp!$AW$2</f>
        <v>2754.9410987589581</v>
      </c>
      <c r="C83" s="194">
        <f>C79+SUMPRODUCT(AC79:AN79,$AC$84:$AN$84)/SUM(AC79:AN79)*C79*bdp!$AW$2</f>
        <v>1131.7506111406353</v>
      </c>
      <c r="D83" s="194">
        <f>D79+SUMPRODUCT(BE79:BF79,$BE$84:$BF$84)/SUM(BE79:BF79)*D79*bdp!$AW$2</f>
        <v>306.53603061959552</v>
      </c>
      <c r="E83" s="194">
        <f>E79+$BL$84*E79*bdp!$AW$2</f>
        <v>765.24368551454029</v>
      </c>
      <c r="F83" s="194">
        <f>F79</f>
        <v>202.5482311216</v>
      </c>
      <c r="G83" s="194">
        <f t="shared" ref="G83:J83" si="8">G79</f>
        <v>-6.5986620603358652</v>
      </c>
      <c r="H83" s="194">
        <f t="shared" si="8"/>
        <v>220.15873226240294</v>
      </c>
      <c r="I83" s="194">
        <f t="shared" si="8"/>
        <v>-36.9631318956</v>
      </c>
      <c r="J83" s="194">
        <f t="shared" si="8"/>
        <v>-2060.3336927104747</v>
      </c>
      <c r="K83" s="240">
        <f>$BS$110</f>
        <v>-2417.2278335879091</v>
      </c>
      <c r="L83" s="194">
        <f>L79</f>
        <v>413.93859691295893</v>
      </c>
      <c r="M83" s="194">
        <f>M79+SUMPRODUCT(W130:AN130,$C$135:$T$135)/SUM(W130:AN130)*M79*bdp!$AW$2</f>
        <v>5063.6817677633817</v>
      </c>
      <c r="N83" s="194">
        <f>N79+SUMPRODUCT(AP79:BA79,$AC$84:$AN$84)/SUM(AP79:BA79)*N79*bdp!$AW$2</f>
        <v>964.51561595323847</v>
      </c>
      <c r="O83" s="194">
        <f>O79+SUMPRODUCT(BH79:BI79,$BH$84:$BI$84)/SUM(BH79:BI79)*O79*bdp!$AW$2</f>
        <v>455.1587704519751</v>
      </c>
      <c r="P83" s="194">
        <f>P79+$BN$84*P79*bdp!$AW$2</f>
        <v>380.06994526602915</v>
      </c>
      <c r="Q83" s="194">
        <f>Q79</f>
        <v>493.65714397867566</v>
      </c>
      <c r="R83" s="194">
        <f>R79</f>
        <v>-201.55765900284612</v>
      </c>
      <c r="S83" s="241">
        <f t="shared" si="0"/>
        <v>-1904.9546734008954</v>
      </c>
      <c r="T83" s="241">
        <f t="shared" si="1"/>
        <v>-5881.5319183340835</v>
      </c>
      <c r="BQ83" s="192">
        <v>41455</v>
      </c>
      <c r="BR83" s="193">
        <v>12020.553139989799</v>
      </c>
      <c r="BS83" s="193">
        <v>743.95294314731291</v>
      </c>
    </row>
    <row r="84" spans="1:71" ht="14.25" customHeight="1">
      <c r="A84" s="231">
        <v>44012</v>
      </c>
      <c r="B84" s="194">
        <f>B80+SUMPRODUCT(C131:T131,$C$135:$T$135)/SUM(C131:T131)*B80*bdp!$AX$2</f>
        <v>2266.801563995391</v>
      </c>
      <c r="C84" s="194">
        <f>C80+SUMPRODUCT(AC80:AN80,$AC$84:$AN$84)/SUM(AC80:AN80)*C80*bdp!$AX$2</f>
        <v>656.76760152952784</v>
      </c>
      <c r="D84" s="194">
        <f>D80+SUMPRODUCT(BE80:BF80,$BE$84:$BF$84)/SUM(BE80:BF80)*D80*bdp!$AX$2</f>
        <v>354.85797637529936</v>
      </c>
      <c r="E84" s="194">
        <f>E80+$BL$84*E80*bdp!$AX$2</f>
        <v>591.09047989769999</v>
      </c>
      <c r="F84" s="194">
        <f t="shared" ref="F84:J86" si="9">F80</f>
        <v>373.18811665029995</v>
      </c>
      <c r="G84" s="194">
        <f t="shared" si="9"/>
        <v>102.11391184641728</v>
      </c>
      <c r="H84" s="194">
        <f t="shared" si="9"/>
        <v>16.145067591079993</v>
      </c>
      <c r="I84" s="194">
        <f t="shared" si="9"/>
        <v>-40.377633002899998</v>
      </c>
      <c r="J84" s="194">
        <f t="shared" si="9"/>
        <v>7.553304655647338</v>
      </c>
      <c r="K84" s="243">
        <v>0</v>
      </c>
      <c r="L84" s="194">
        <f t="shared" ref="L84:L86" si="10">L80</f>
        <v>614.31088203385116</v>
      </c>
      <c r="M84" s="194">
        <f>M80+SUMPRODUCT(W131:AN131,$C$135:$T$135)/SUM(W131:AN131)*M80*bdp!$AX$2</f>
        <v>4413.3270414641884</v>
      </c>
      <c r="N84" s="194">
        <f>N80+SUMPRODUCT(AP80:BA80,$AC$84:$AN$84)/SUM(AP80:BA80)*N80*bdp!$AX$2</f>
        <v>466.24493060144493</v>
      </c>
      <c r="O84" s="194">
        <f>O80+SUMPRODUCT(BH80:BI80,$BH$84:$BI$84)/SUM(BH80:BI80)*O80*bdp!$AX$2</f>
        <v>572.03890561621495</v>
      </c>
      <c r="P84" s="194">
        <f>P80+$BN$84*P80*bdp!$AX$2</f>
        <v>192.07814007293999</v>
      </c>
      <c r="Q84" s="194">
        <f t="shared" ref="Q84:R84" si="11">Q80</f>
        <v>-19.402932970505873</v>
      </c>
      <c r="R84" s="194">
        <f t="shared" si="11"/>
        <v>990.4796297297321</v>
      </c>
      <c r="S84" s="241">
        <f t="shared" si="0"/>
        <v>-1774.1713959568706</v>
      </c>
      <c r="T84" s="241">
        <f t="shared" si="1"/>
        <v>-1672.3144429417016</v>
      </c>
      <c r="AB84" s="245" t="s">
        <v>62</v>
      </c>
      <c r="AC84" s="122">
        <f>SUMPRODUCT(bdp!AI4:AI27,bdp!AJ4:AJ27)/SUM(bdp!AI4:AI27)</f>
        <v>-0.2478229848390735</v>
      </c>
      <c r="AD84" s="122">
        <f>SUMPRODUCT(bdp!AI4:AI27,bdp!AJ4:AJ27)/SUM(bdp!AI4:AI27)</f>
        <v>-0.2478229848390735</v>
      </c>
      <c r="AE84" s="122">
        <f>bdp!AJ32</f>
        <v>-0.66910034294326015</v>
      </c>
      <c r="AF84" s="122">
        <f>bdp!AJ33</f>
        <v>-1</v>
      </c>
      <c r="AG84" s="122">
        <f>bdp!AJ30</f>
        <v>-0.3</v>
      </c>
      <c r="AH84" s="122">
        <f>bdp!AJ35</f>
        <v>-0.1</v>
      </c>
      <c r="AI84" s="122">
        <f>bdp!AJ35</f>
        <v>-0.1</v>
      </c>
      <c r="AJ84" s="122">
        <f>bdp!AJ37</f>
        <v>-0.31677438905694238</v>
      </c>
      <c r="AK84" s="122">
        <f>bdp!AJ34</f>
        <v>-4.1528142175114642E-2</v>
      </c>
      <c r="AL84" s="122">
        <f>SUMPRODUCT(bdp!AI36:AI38,bdp!AJ36:AJ38)/SUM(bdp!AI36:AI38)</f>
        <v>-0.54858542741651828</v>
      </c>
      <c r="AM84" s="122">
        <f>bdp!AJ42</f>
        <v>-1</v>
      </c>
      <c r="AN84" s="246">
        <v>0</v>
      </c>
      <c r="BD84" s="245" t="s">
        <v>62</v>
      </c>
      <c r="BE84" s="105">
        <v>-0.4</v>
      </c>
      <c r="BF84" s="105">
        <v>-0.4</v>
      </c>
      <c r="BH84" s="105">
        <v>-0.4</v>
      </c>
      <c r="BI84" s="105">
        <v>-0.4</v>
      </c>
      <c r="BK84" s="245" t="s">
        <v>62</v>
      </c>
      <c r="BL84" s="105">
        <v>-0.4</v>
      </c>
      <c r="BN84" s="105">
        <v>-0.4</v>
      </c>
      <c r="BQ84" s="192">
        <v>41547</v>
      </c>
      <c r="BR84" s="193">
        <v>11719.494578950431</v>
      </c>
      <c r="BS84" s="193">
        <v>-301.05856103936821</v>
      </c>
    </row>
    <row r="85" spans="1:71" ht="14.25" customHeight="1">
      <c r="A85" s="231">
        <v>44104</v>
      </c>
      <c r="B85" s="194">
        <f>B81+SUMPRODUCT(C132:T132,$C$135:$T$135)/SUM(C132:T132)*B81*bdp!$AY$2</f>
        <v>2796.84539278284</v>
      </c>
      <c r="C85" s="194">
        <f>C81+SUMPRODUCT(AC81:AN81,$AC$84:$AN$84)/SUM(AC81:AN81)*C81*bdp!$AY$2</f>
        <v>3165.945553600367</v>
      </c>
      <c r="D85" s="194">
        <f>D81+SUMPRODUCT(BE81:BF81,$BE$84:$BF$84)/SUM(BE81:BF81)*D81*bdp!$AY$2</f>
        <v>476.54323335380826</v>
      </c>
      <c r="E85" s="194">
        <f>E81+$BL$84*E81*bdp!$AY$2</f>
        <v>672.98393292875517</v>
      </c>
      <c r="F85" s="194">
        <f t="shared" si="9"/>
        <v>224.4945916588</v>
      </c>
      <c r="G85" s="194">
        <f t="shared" si="9"/>
        <v>130.40479640282845</v>
      </c>
      <c r="H85" s="194">
        <f t="shared" si="9"/>
        <v>470.81661231459492</v>
      </c>
      <c r="I85" s="194">
        <f t="shared" si="9"/>
        <v>-51.824871172399995</v>
      </c>
      <c r="J85" s="194">
        <f t="shared" si="9"/>
        <v>4351.5205678819639</v>
      </c>
      <c r="K85" s="243">
        <v>0</v>
      </c>
      <c r="L85" s="194">
        <f t="shared" si="10"/>
        <v>-1175.3602344360906</v>
      </c>
      <c r="M85" s="194">
        <f>M81+SUMPRODUCT(W132:AN132,$C$135:$T$135)/SUM(W132:AN132)*M81*bdp!$AY$2</f>
        <v>4748.5540639774754</v>
      </c>
      <c r="N85" s="194">
        <f>N81+SUMPRODUCT(AP81:BA81,$AC$84:$AN$84)/SUM(AP81:BA81)*N81*bdp!$AY$2</f>
        <v>791.52818735958681</v>
      </c>
      <c r="O85" s="194">
        <f>O81+SUMPRODUCT(BH81:BI81,$BH$84:$BI$84)/SUM(BH81:BI81)*O81*bdp!$AY$2</f>
        <v>656.47249058685316</v>
      </c>
      <c r="P85" s="194">
        <f>P81+$BN$84*P81*bdp!$AY$2</f>
        <v>271.09953632820793</v>
      </c>
      <c r="Q85" s="194">
        <f t="shared" ref="Q85:R85" si="12">Q81</f>
        <v>471.87457618405392</v>
      </c>
      <c r="R85" s="194">
        <f t="shared" si="12"/>
        <v>1174.5453051175411</v>
      </c>
      <c r="S85" s="241">
        <f t="shared" si="0"/>
        <v>644.66383441364724</v>
      </c>
      <c r="T85" s="241">
        <f t="shared" si="1"/>
        <v>2948.2954157617496</v>
      </c>
      <c r="BQ85" s="192">
        <v>41639</v>
      </c>
      <c r="BR85" s="193">
        <v>12907.513660482675</v>
      </c>
      <c r="BS85" s="193">
        <v>1188.0190815322439</v>
      </c>
    </row>
    <row r="86" spans="1:71" ht="14.25" customHeight="1">
      <c r="A86" s="231">
        <v>44196</v>
      </c>
      <c r="B86" s="194">
        <f>B82+SUMPRODUCT(C133:T133,$C$135:$T$135)/SUM(C133:T133)*B82*bdp!$AZ$2</f>
        <v>2968.2850636117319</v>
      </c>
      <c r="C86" s="194">
        <f>C82+SUMPRODUCT(AC82:AN82,$AC$84:$AN$84)/SUM(AC82:AN82)*C82*bdp!$AZ$2</f>
        <v>1778.8258863345145</v>
      </c>
      <c r="D86" s="194">
        <f>D82+SUMPRODUCT(BE82:BF82,$BE$84:$BF$84)/SUM(BE82:BF82)*D82*bdp!$AZ$2</f>
        <v>477.71404686736958</v>
      </c>
      <c r="E86" s="194">
        <f>E82+$BL$84*E82*bdp!$AZ$2</f>
        <v>948.36600138638153</v>
      </c>
      <c r="F86" s="194">
        <f t="shared" si="9"/>
        <v>316.83123792890001</v>
      </c>
      <c r="G86" s="194">
        <f t="shared" si="9"/>
        <v>-0.89572813042521915</v>
      </c>
      <c r="H86" s="194">
        <f t="shared" si="9"/>
        <v>470.25472743504702</v>
      </c>
      <c r="I86" s="194">
        <f t="shared" si="9"/>
        <v>15.991184189699997</v>
      </c>
      <c r="J86" s="194">
        <f t="shared" si="9"/>
        <v>-272.0201955039571</v>
      </c>
      <c r="K86" s="243">
        <v>0</v>
      </c>
      <c r="L86" s="194">
        <f t="shared" si="10"/>
        <v>-123.71930847805208</v>
      </c>
      <c r="M86" s="194">
        <f>M82+SUMPRODUCT(W133:AN133,$C$135:$T$135)/SUM(W133:AN133)*M82*bdp!$AZ$2</f>
        <v>5123.780973517456</v>
      </c>
      <c r="N86" s="194">
        <f>N82+SUMPRODUCT(AP82:BA82,$AC$84:$AN$84)/SUM(AP82:BA82)*N82*bdp!$AZ$2</f>
        <v>990.09700531122041</v>
      </c>
      <c r="O86" s="194">
        <f>O82+SUMPRODUCT(BH82:BI82,$BH$84:$BI$84)/SUM(BH82:BI82)*O82*bdp!$AZ$2</f>
        <v>530.28288968538493</v>
      </c>
      <c r="P86" s="194">
        <f>P82+$BN$84*P82*bdp!$AZ$2</f>
        <v>270.51049039336283</v>
      </c>
      <c r="Q86" s="194">
        <f t="shared" ref="Q86:R86" si="13">Q82</f>
        <v>291.08581414234806</v>
      </c>
      <c r="R86" s="194">
        <f t="shared" si="13"/>
        <v>-1312.092275606771</v>
      </c>
      <c r="S86" s="241">
        <f t="shared" si="0"/>
        <v>-741.48036070742637</v>
      </c>
      <c r="T86" s="241">
        <f t="shared" si="1"/>
        <v>685.96801819820939</v>
      </c>
      <c r="BQ86" s="192">
        <v>41729</v>
      </c>
      <c r="BR86" s="193">
        <v>12100.031645164447</v>
      </c>
      <c r="BS86" s="193">
        <v>-807.48201531822815</v>
      </c>
    </row>
    <row r="87" spans="1:71" ht="14.25" customHeight="1">
      <c r="A87" s="248" t="s">
        <v>6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BQ87" s="192">
        <v>41820</v>
      </c>
      <c r="BR87" s="193">
        <v>12334.734557565635</v>
      </c>
      <c r="BS87" s="193">
        <v>234.70291240118786</v>
      </c>
    </row>
    <row r="88" spans="1:71" ht="14.25" customHeight="1">
      <c r="A88" s="231">
        <v>43921</v>
      </c>
      <c r="B88" s="194">
        <f>B79+SUMPRODUCT(C130:T130,$C$135:$T$135)/SUM(C130:T130)*B79*bdp!$BA$2</f>
        <v>2754.9410987589581</v>
      </c>
      <c r="C88" s="194">
        <f>C79+SUMPRODUCT(AC79:AN79,$AC$84:$AN$84)/SUM(AC79:AN79)*C79*bdp!$BA$2</f>
        <v>1131.7506111406353</v>
      </c>
      <c r="D88" s="194">
        <f>D79+SUMPRODUCT(BE79:BF79,$BE$84:$BF$84)/SUM(BE79:BF79)*D79*bdp!$BA$2</f>
        <v>306.53603061959552</v>
      </c>
      <c r="E88" s="194">
        <f>E79+$BL$84*E79*bdp!$BA$2</f>
        <v>765.24368551454029</v>
      </c>
      <c r="F88" s="194">
        <f>F79</f>
        <v>202.5482311216</v>
      </c>
      <c r="G88" s="194">
        <f t="shared" ref="G88:J88" si="14">G79</f>
        <v>-6.5986620603358652</v>
      </c>
      <c r="H88" s="194">
        <f t="shared" si="14"/>
        <v>220.15873226240294</v>
      </c>
      <c r="I88" s="194">
        <f t="shared" si="14"/>
        <v>-36.9631318956</v>
      </c>
      <c r="J88" s="194">
        <f t="shared" si="14"/>
        <v>-2060.3336927104747</v>
      </c>
      <c r="K88" s="240">
        <f>$BS$110</f>
        <v>-2417.2278335879091</v>
      </c>
      <c r="L88" s="194">
        <f>L79</f>
        <v>413.93859691295893</v>
      </c>
      <c r="M88" s="194">
        <f>M79+SUMPRODUCT(W130:AN130,$C$135:$T$135)/SUM(W130:AN130)*M79*bdp!$BA$2</f>
        <v>5063.6817677633817</v>
      </c>
      <c r="N88" s="194">
        <f>N79+SUMPRODUCT(AP79:BA79,$AC$84:$AN$84)/SUM(AP79:BA79)*N79*bdp!$BA$2</f>
        <v>964.51561595323847</v>
      </c>
      <c r="O88" s="194">
        <f>O79+SUMPRODUCT(BH79:BI79,$BH$84:$BI$84)/SUM(BH79:BI79)*O79*bdp!$BA$2</f>
        <v>455.1587704519751</v>
      </c>
      <c r="P88" s="194">
        <f>P79+$BN$84*P79*bdp!$BA$2</f>
        <v>380.06994526602915</v>
      </c>
      <c r="Q88" s="194">
        <f>Q79</f>
        <v>493.65714397867566</v>
      </c>
      <c r="R88" s="194">
        <f>R79</f>
        <v>-201.55765900284612</v>
      </c>
      <c r="S88" s="241">
        <f t="shared" ref="S88:S91" si="15">SUM(B88:E88)-SUM(M88:P88)</f>
        <v>-1904.9546734008954</v>
      </c>
      <c r="T88" s="241">
        <f t="shared" ref="T88:T91" si="16">SUM(B88:L88)-SUM(M88:R88)</f>
        <v>-5881.5319183340835</v>
      </c>
      <c r="BQ88" s="192">
        <v>41912</v>
      </c>
      <c r="BR88" s="193">
        <v>12115.590409673159</v>
      </c>
      <c r="BS88" s="193">
        <v>-219.1441478924753</v>
      </c>
    </row>
    <row r="89" spans="1:71" ht="14.25" customHeight="1">
      <c r="A89" s="231">
        <v>44012</v>
      </c>
      <c r="B89" s="194">
        <f>B80+SUMPRODUCT(C131:T131,$C$135:$T$135)/SUM(C131:T131)*B80*bdp!$BB$2</f>
        <v>2266.801563995391</v>
      </c>
      <c r="C89" s="194">
        <f>C80+SUMPRODUCT(AC80:AN80,$AC$84:$AN$84)/SUM(AC80:AN80)*C80*bdp!$BB$2</f>
        <v>656.76760152952784</v>
      </c>
      <c r="D89" s="194">
        <f>D80+SUMPRODUCT(BE80:BF80,$BE$84:$BF$84)/SUM(BE80:BF80)*D80*bdp!$BB$2</f>
        <v>354.85797637529936</v>
      </c>
      <c r="E89" s="194">
        <f>E80+$BL$84*E80*bdp!$BB$2</f>
        <v>591.09047989769999</v>
      </c>
      <c r="F89" s="194">
        <f t="shared" ref="F89:J91" si="17">F80</f>
        <v>373.18811665029995</v>
      </c>
      <c r="G89" s="194">
        <f t="shared" si="17"/>
        <v>102.11391184641728</v>
      </c>
      <c r="H89" s="194">
        <f t="shared" si="17"/>
        <v>16.145067591079993</v>
      </c>
      <c r="I89" s="194">
        <f t="shared" si="17"/>
        <v>-40.377633002899998</v>
      </c>
      <c r="J89" s="194">
        <f t="shared" si="17"/>
        <v>7.553304655647338</v>
      </c>
      <c r="K89" s="243">
        <v>0</v>
      </c>
      <c r="L89" s="194">
        <f t="shared" ref="L89:L91" si="18">L80</f>
        <v>614.31088203385116</v>
      </c>
      <c r="M89" s="194">
        <f>M80+SUMPRODUCT(W131:AN131,$C$135:$T$135)/SUM(W131:AN131)*M80*bdp!$BB$2</f>
        <v>4413.3270414641884</v>
      </c>
      <c r="N89" s="194">
        <f>N80+SUMPRODUCT(AP80:BA80,$AC$84:$AN$84)/SUM(AP80:BA80)*N80*bdp!$BB$2</f>
        <v>466.24493060144493</v>
      </c>
      <c r="O89" s="194">
        <f>O80+SUMPRODUCT(BH80:BI80,$BH$84:$BI$84)/SUM(BH80:BI80)*O80*bdp!$BB$2</f>
        <v>572.03890561621495</v>
      </c>
      <c r="P89" s="194">
        <f>P80+$BN$84*P80*bdp!$BB$2</f>
        <v>192.07814007293999</v>
      </c>
      <c r="Q89" s="194">
        <f t="shared" ref="Q89:R89" si="19">Q80</f>
        <v>-19.402932970505873</v>
      </c>
      <c r="R89" s="194">
        <f t="shared" si="19"/>
        <v>990.4796297297321</v>
      </c>
      <c r="S89" s="241">
        <f t="shared" si="15"/>
        <v>-1774.1713959568706</v>
      </c>
      <c r="T89" s="241">
        <f t="shared" si="16"/>
        <v>-1672.3144429417016</v>
      </c>
      <c r="BQ89" s="192">
        <v>42004</v>
      </c>
      <c r="BR89" s="193">
        <v>12687.649405547039</v>
      </c>
      <c r="BS89" s="193">
        <v>572.05899587388012</v>
      </c>
    </row>
    <row r="90" spans="1:71" ht="14.25" customHeight="1">
      <c r="A90" s="231">
        <v>44104</v>
      </c>
      <c r="B90" s="194">
        <f>B81+SUMPRODUCT(C132:T132,$C$135:$T$135)/SUM(C132:T132)*B81*bdp!$BC$2</f>
        <v>2948.9787458410124</v>
      </c>
      <c r="C90" s="194">
        <f>C81+SUMPRODUCT(AC81:AN81,$AC$84:$AN$84)/SUM(AC81:AN81)*C81*bdp!$BC$2</f>
        <v>4324.4227518369571</v>
      </c>
      <c r="D90" s="194">
        <f>D81+SUMPRODUCT(BE81:BF81,$BE$84:$BF$84)/SUM(BE81:BF81)*D81*bdp!$BC$2</f>
        <v>517.98177538457423</v>
      </c>
      <c r="E90" s="194">
        <f>E81+$BL$84*E81*bdp!$BC$2</f>
        <v>731.50427492255994</v>
      </c>
      <c r="F90" s="194">
        <f t="shared" si="17"/>
        <v>224.4945916588</v>
      </c>
      <c r="G90" s="194">
        <f t="shared" si="17"/>
        <v>130.40479640282845</v>
      </c>
      <c r="H90" s="194">
        <f t="shared" si="17"/>
        <v>470.81661231459492</v>
      </c>
      <c r="I90" s="194">
        <f t="shared" si="17"/>
        <v>-51.824871172399995</v>
      </c>
      <c r="J90" s="194">
        <f t="shared" si="17"/>
        <v>4351.5205678819639</v>
      </c>
      <c r="K90" s="243">
        <v>0</v>
      </c>
      <c r="L90" s="194">
        <f t="shared" si="18"/>
        <v>-1175.3602344360906</v>
      </c>
      <c r="M90" s="194">
        <f>M81+SUMPRODUCT(W132:AN132,$C$135:$T$135)/SUM(W132:AN132)*M81*bdp!$BC$2</f>
        <v>5005.6570808832503</v>
      </c>
      <c r="N90" s="194">
        <f>N81+SUMPRODUCT(AP81:BA81,$AC$84:$AN$84)/SUM(AP81:BA81)*N81*bdp!$BC$2</f>
        <v>912.45899937760214</v>
      </c>
      <c r="O90" s="194">
        <f>O81+SUMPRODUCT(BH81:BI81,$BH$84:$BI$84)/SUM(BH81:BI81)*O81*bdp!$BC$2</f>
        <v>713.5570549857099</v>
      </c>
      <c r="P90" s="194">
        <f>P81+$BN$84*P81*bdp!$BC$2</f>
        <v>294.67340905239996</v>
      </c>
      <c r="Q90" s="194">
        <f t="shared" ref="Q90:R90" si="20">Q81</f>
        <v>471.87457618405392</v>
      </c>
      <c r="R90" s="194">
        <f t="shared" si="20"/>
        <v>1174.5453051175411</v>
      </c>
      <c r="S90" s="241">
        <f t="shared" si="15"/>
        <v>1596.5410036861413</v>
      </c>
      <c r="T90" s="241">
        <f t="shared" si="16"/>
        <v>3900.1725850342427</v>
      </c>
      <c r="BQ90" s="192">
        <v>42094</v>
      </c>
      <c r="BR90" s="193">
        <v>14157.75204223921</v>
      </c>
      <c r="BS90" s="193">
        <v>1470.1026366921706</v>
      </c>
    </row>
    <row r="91" spans="1:71" ht="14.25" customHeight="1">
      <c r="A91" s="231">
        <v>44196</v>
      </c>
      <c r="B91" s="194">
        <f>B82+SUMPRODUCT(C133:T133,$C$135:$T$135)/SUM(C133:T133)*B82*bdp!$BD$2</f>
        <v>3078.2442434973714</v>
      </c>
      <c r="C91" s="194">
        <f>C82+SUMPRODUCT(AC82:AN82,$AC$84:$AN$84)/SUM(AC82:AN82)*C82*bdp!$BD$2</f>
        <v>1990.3464235659756</v>
      </c>
      <c r="D91" s="194">
        <f>D82+SUMPRODUCT(BE82:BF82,$BE$84:$BF$84)/SUM(BE82:BF82)*D82*bdp!$BD$2</f>
        <v>506.332860735</v>
      </c>
      <c r="E91" s="194">
        <f>E82+$BL$84*E82*bdp!$BD$2</f>
        <v>1005.1805544648283</v>
      </c>
      <c r="F91" s="194">
        <f t="shared" si="17"/>
        <v>316.83123792890001</v>
      </c>
      <c r="G91" s="194">
        <f t="shared" si="17"/>
        <v>-0.89572813042521915</v>
      </c>
      <c r="H91" s="194">
        <f t="shared" si="17"/>
        <v>470.25472743504702</v>
      </c>
      <c r="I91" s="194">
        <f t="shared" si="17"/>
        <v>15.991184189699997</v>
      </c>
      <c r="J91" s="194">
        <f t="shared" si="17"/>
        <v>-272.0201955039571</v>
      </c>
      <c r="K91" s="243">
        <v>0</v>
      </c>
      <c r="L91" s="194">
        <f t="shared" si="18"/>
        <v>-123.71930847805208</v>
      </c>
      <c r="M91" s="194">
        <f>M82+SUMPRODUCT(W133:AN133,$C$135:$T$135)/SUM(W133:AN133)*M82*bdp!$BD$2</f>
        <v>5328.437842997897</v>
      </c>
      <c r="N91" s="194">
        <f>N82+SUMPRODUCT(AP82:BA82,$AC$84:$AN$84)/SUM(AP82:BA82)*N82*bdp!$BD$2</f>
        <v>1085.5324035065396</v>
      </c>
      <c r="O91" s="194">
        <f>O82+SUMPRODUCT(BH82:BI82,$BH$84:$BI$84)/SUM(BH82:BI82)*O82*bdp!$BD$2</f>
        <v>562.05098906745866</v>
      </c>
      <c r="P91" s="194">
        <f>P82+$BN$84*P82*bdp!$BD$2</f>
        <v>286.71618797453198</v>
      </c>
      <c r="Q91" s="194">
        <f t="shared" ref="Q91:R91" si="21">Q82</f>
        <v>291.08581414234806</v>
      </c>
      <c r="R91" s="194">
        <f t="shared" si="21"/>
        <v>-1312.092275606771</v>
      </c>
      <c r="S91" s="241">
        <f t="shared" si="15"/>
        <v>-682.63334128325096</v>
      </c>
      <c r="T91" s="241">
        <f t="shared" si="16"/>
        <v>744.81503762238481</v>
      </c>
      <c r="BQ91" s="192">
        <v>42185</v>
      </c>
      <c r="BR91" s="193">
        <v>13733.594673122348</v>
      </c>
      <c r="BS91" s="193">
        <v>-424.15736911686145</v>
      </c>
    </row>
    <row r="92" spans="1:71" ht="14.25" customHeight="1">
      <c r="A92" s="250" t="s">
        <v>7</v>
      </c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BQ92" s="192">
        <v>42277</v>
      </c>
      <c r="BR92" s="193">
        <v>13436.565896417</v>
      </c>
      <c r="BS92" s="193">
        <v>-297.02877670534872</v>
      </c>
    </row>
    <row r="93" spans="1:71" ht="14.25" customHeight="1">
      <c r="A93" s="231">
        <v>43921</v>
      </c>
      <c r="B93" s="194">
        <f>B79+SUMPRODUCT(C130:T130,$C$135:$T$135)/SUM(C130:T130)*B79*bdp!$BE$2</f>
        <v>2754.9410987589581</v>
      </c>
      <c r="C93" s="194">
        <f>C79+SUMPRODUCT(AC79:AN79,$AC$84:$AN$84)/SUM(AC79:AN79)*C79*bdp!$BE$2</f>
        <v>1131.7506111406353</v>
      </c>
      <c r="D93" s="194">
        <f>D79+SUMPRODUCT(BE79:BF79,$BE$84:$BF$84)/SUM(BE79:BF79)*D79*bdp!$BE$2</f>
        <v>306.53603061959552</v>
      </c>
      <c r="E93" s="194">
        <f>E79+$BL$84*E79*bdp!$BE$2</f>
        <v>765.24368551454029</v>
      </c>
      <c r="F93" s="194">
        <f>F79</f>
        <v>202.5482311216</v>
      </c>
      <c r="G93" s="194">
        <f t="shared" ref="G93:J93" si="22">G79</f>
        <v>-6.5986620603358652</v>
      </c>
      <c r="H93" s="194">
        <f t="shared" si="22"/>
        <v>220.15873226240294</v>
      </c>
      <c r="I93" s="194">
        <f t="shared" si="22"/>
        <v>-36.9631318956</v>
      </c>
      <c r="J93" s="194">
        <f t="shared" si="22"/>
        <v>-2060.3336927104747</v>
      </c>
      <c r="K93" s="240">
        <f>$BS$110</f>
        <v>-2417.2278335879091</v>
      </c>
      <c r="L93" s="194">
        <f>L79</f>
        <v>413.93859691295893</v>
      </c>
      <c r="M93" s="194">
        <f>M79+SUMPRODUCT(W130:AN130,$C$135:$T$135)/SUM(W130:AN130)*M79*bdp!$BE$2</f>
        <v>5063.6817677633817</v>
      </c>
      <c r="N93" s="194">
        <f>N79+SUMPRODUCT(AP79:BA79,$AC$84:$AN$84)/SUM(AP79:BA79)*N79*bdp!$BE$2</f>
        <v>964.51561595323847</v>
      </c>
      <c r="O93" s="194">
        <f>O79+SUMPRODUCT(BH79:BI79,$BH$84:$BI$84)/SUM(BH79:BI79)*O79*bdp!$BE$2</f>
        <v>455.1587704519751</v>
      </c>
      <c r="P93" s="194">
        <f>P79+$BN$84*P79*bdp!$BE$2</f>
        <v>380.06994526602915</v>
      </c>
      <c r="Q93" s="194">
        <f>Q79</f>
        <v>493.65714397867566</v>
      </c>
      <c r="R93" s="194">
        <f>R79</f>
        <v>-201.55765900284612</v>
      </c>
      <c r="S93" s="241">
        <f t="shared" ref="S93:S96" si="23">SUM(B93:E93)-SUM(M93:P93)</f>
        <v>-1904.9546734008954</v>
      </c>
      <c r="T93" s="241">
        <f t="shared" ref="T93:T96" si="24">SUM(B93:L93)-SUM(M93:R93)</f>
        <v>-5881.5319183340835</v>
      </c>
      <c r="BQ93" s="192">
        <v>42369</v>
      </c>
      <c r="BR93" s="193">
        <v>13706.6055336727</v>
      </c>
      <c r="BS93" s="193">
        <v>270.03963725570065</v>
      </c>
    </row>
    <row r="94" spans="1:71" ht="14.25" customHeight="1">
      <c r="A94" s="231">
        <v>44012</v>
      </c>
      <c r="B94" s="194">
        <f>B80+SUMPRODUCT(C131:T131,$C$135:$T$135)/SUM(C131:T131)*B80*bdp!$BF$2</f>
        <v>2266.801563995391</v>
      </c>
      <c r="C94" s="194">
        <f>C80+SUMPRODUCT(AC80:AN80,$AC$84:$AN$84)/SUM(AC80:AN80)*C80*bdp!$BF$2</f>
        <v>656.76760152952784</v>
      </c>
      <c r="D94" s="194">
        <f>D80+SUMPRODUCT(BE80:BF80,$BE$84:$BF$84)/SUM(BE80:BF80)*D80*bdp!$BF$2</f>
        <v>354.85797637529936</v>
      </c>
      <c r="E94" s="194">
        <f>E80+$BL$84*E80*bdp!$BF$2</f>
        <v>591.09047989769999</v>
      </c>
      <c r="F94" s="194">
        <f t="shared" ref="F94:J94" si="25">F80</f>
        <v>373.18811665029995</v>
      </c>
      <c r="G94" s="194">
        <f t="shared" si="25"/>
        <v>102.11391184641728</v>
      </c>
      <c r="H94" s="194">
        <f t="shared" si="25"/>
        <v>16.145067591079993</v>
      </c>
      <c r="I94" s="194">
        <f t="shared" si="25"/>
        <v>-40.377633002899998</v>
      </c>
      <c r="J94" s="194">
        <f t="shared" si="25"/>
        <v>7.553304655647338</v>
      </c>
      <c r="K94" s="243">
        <v>0</v>
      </c>
      <c r="L94" s="194">
        <f t="shared" ref="L94:L96" si="26">L80</f>
        <v>614.31088203385116</v>
      </c>
      <c r="M94" s="194">
        <f>M80+SUMPRODUCT(W131:AN131,$C$135:$T$135)/SUM(W131:AN131)*M80*bdp!$BF$2</f>
        <v>4413.3270414641884</v>
      </c>
      <c r="N94" s="194">
        <f>N80+SUMPRODUCT(AP80:BA80,$AC$84:$AN$84)/SUM(AP80:BA80)*N80*bdp!$BF$2</f>
        <v>466.24493060144493</v>
      </c>
      <c r="O94" s="194">
        <f>O80+SUMPRODUCT(BH80:BI80,$BH$84:$BI$84)/SUM(BH80:BI80)*O80*bdp!$BF$2</f>
        <v>572.03890561621495</v>
      </c>
      <c r="P94" s="194">
        <f>P80+$BN$84*P80*bdp!$BF$2</f>
        <v>192.07814007293999</v>
      </c>
      <c r="Q94" s="194">
        <f t="shared" ref="Q94:R94" si="27">Q80</f>
        <v>-19.402932970505873</v>
      </c>
      <c r="R94" s="194">
        <f t="shared" si="27"/>
        <v>990.4796297297321</v>
      </c>
      <c r="S94" s="241">
        <f t="shared" si="23"/>
        <v>-1774.1713959568706</v>
      </c>
      <c r="T94" s="241">
        <f t="shared" si="24"/>
        <v>-1672.3144429417016</v>
      </c>
      <c r="BQ94" s="192">
        <v>42460</v>
      </c>
      <c r="BR94" s="193">
        <v>13198.832170046189</v>
      </c>
      <c r="BS94" s="193">
        <v>-507.77336362651113</v>
      </c>
    </row>
    <row r="95" spans="1:71" ht="14.25" customHeight="1">
      <c r="A95" s="231">
        <v>44104</v>
      </c>
      <c r="B95" s="194">
        <f>B81+SUMPRODUCT(C132:T132,$C$135:$T$135)/SUM(C132:T132)*B81*bdp!$BG$2</f>
        <v>3110.6204334653207</v>
      </c>
      <c r="C95" s="194">
        <f>C81+SUMPRODUCT(AC81:AN81,$AC$84:$AN$84)/SUM(AC81:AN81)*C81*bdp!$BG$2</f>
        <v>5555.3047749633333</v>
      </c>
      <c r="D95" s="194">
        <f>D81+SUMPRODUCT(BE81:BF81,$BE$84:$BF$84)/SUM(BE81:BF81)*D81*bdp!$BG$2</f>
        <v>562.01022629226304</v>
      </c>
      <c r="E95" s="194">
        <f>E81+$BL$84*E81*bdp!$BG$2</f>
        <v>793.68213829097749</v>
      </c>
      <c r="F95" s="194">
        <f t="shared" ref="F95:J95" si="28">F81</f>
        <v>224.4945916588</v>
      </c>
      <c r="G95" s="194">
        <f t="shared" si="28"/>
        <v>130.40479640282845</v>
      </c>
      <c r="H95" s="194">
        <f t="shared" si="28"/>
        <v>470.81661231459492</v>
      </c>
      <c r="I95" s="194">
        <f t="shared" si="28"/>
        <v>-51.824871172399995</v>
      </c>
      <c r="J95" s="194">
        <f t="shared" si="28"/>
        <v>4351.5205678819639</v>
      </c>
      <c r="K95" s="243">
        <v>0</v>
      </c>
      <c r="L95" s="194">
        <f t="shared" si="26"/>
        <v>-1175.3602344360906</v>
      </c>
      <c r="M95" s="194">
        <f>M81+SUMPRODUCT(W132:AN132,$C$135:$T$135)/SUM(W132:AN132)*M81*bdp!$BG$2</f>
        <v>5278.8290363456372</v>
      </c>
      <c r="N95" s="194">
        <f>N81+SUMPRODUCT(AP81:BA81,$AC$84:$AN$84)/SUM(AP81:BA81)*N81*bdp!$BG$2</f>
        <v>1040.9479871467433</v>
      </c>
      <c r="O95" s="194">
        <f>O81+SUMPRODUCT(BH81:BI81,$BH$84:$BI$84)/SUM(BH81:BI81)*O81*bdp!$BG$2</f>
        <v>774.20940465949525</v>
      </c>
      <c r="P95" s="194">
        <f>P81+$BN$84*P81*bdp!$BG$2</f>
        <v>319.72064882185396</v>
      </c>
      <c r="Q95" s="194">
        <f t="shared" ref="Q95:R95" si="29">Q81</f>
        <v>471.87457618405392</v>
      </c>
      <c r="R95" s="194">
        <f t="shared" si="29"/>
        <v>1174.5453051175411</v>
      </c>
      <c r="S95" s="241">
        <f t="shared" si="23"/>
        <v>2607.9104960381646</v>
      </c>
      <c r="T95" s="241">
        <f t="shared" si="24"/>
        <v>4911.5420773862643</v>
      </c>
      <c r="BQ95" s="192">
        <v>42551</v>
      </c>
      <c r="BR95" s="193">
        <v>12936.461571948828</v>
      </c>
      <c r="BS95" s="193">
        <v>-262.37059809736093</v>
      </c>
    </row>
    <row r="96" spans="1:71" ht="14.25" customHeight="1">
      <c r="A96" s="231">
        <v>44196</v>
      </c>
      <c r="B96" s="194">
        <f>B82+SUMPRODUCT(C133:T133,$C$135:$T$135)/SUM(C133:T133)*B82*bdp!$BH$2</f>
        <v>3247.4122125522017</v>
      </c>
      <c r="C96" s="194">
        <f>C82+SUMPRODUCT(AC82:AN82,$AC$84:$AN$84)/SUM(AC82:AN82)*C82*bdp!$BH$2</f>
        <v>2315.7626346913003</v>
      </c>
      <c r="D96" s="194">
        <f>D82+SUMPRODUCT(BE82:BF82,$BE$84:$BF$84)/SUM(BE82:BF82)*D82*bdp!$BH$2</f>
        <v>550.36180514673913</v>
      </c>
      <c r="E96" s="194">
        <f>E82+$BL$84*E82*bdp!$BH$2</f>
        <v>1092.5875592009004</v>
      </c>
      <c r="F96" s="194">
        <f t="shared" ref="F96:J96" si="30">F82</f>
        <v>316.83123792890001</v>
      </c>
      <c r="G96" s="194">
        <f t="shared" si="30"/>
        <v>-0.89572813042521915</v>
      </c>
      <c r="H96" s="194">
        <f t="shared" si="30"/>
        <v>470.25472743504702</v>
      </c>
      <c r="I96" s="194">
        <f t="shared" si="30"/>
        <v>15.991184189699997</v>
      </c>
      <c r="J96" s="194">
        <f t="shared" si="30"/>
        <v>-272.0201955039571</v>
      </c>
      <c r="K96" s="243">
        <v>0</v>
      </c>
      <c r="L96" s="194">
        <f t="shared" si="26"/>
        <v>-123.71930847805208</v>
      </c>
      <c r="M96" s="194">
        <f>M82+SUMPRODUCT(W133:AN133,$C$135:$T$135)/SUM(W133:AN133)*M82*bdp!$BH$2</f>
        <v>5643.2945652754988</v>
      </c>
      <c r="N96" s="194">
        <f>N82+SUMPRODUCT(AP82:BA82,$AC$84:$AN$84)/SUM(AP82:BA82)*N82*bdp!$BH$2</f>
        <v>1232.3560930377998</v>
      </c>
      <c r="O96" s="194">
        <f>O82+SUMPRODUCT(BH82:BI82,$BH$84:$BI$84)/SUM(BH82:BI82)*O82*bdp!$BH$2</f>
        <v>610.92498811680287</v>
      </c>
      <c r="P96" s="194">
        <f>P82+$BN$84*P82*bdp!$BH$2</f>
        <v>311.64803040710001</v>
      </c>
      <c r="Q96" s="194">
        <f t="shared" ref="Q96:R96" si="31">Q82</f>
        <v>291.08581414234806</v>
      </c>
      <c r="R96" s="194">
        <f t="shared" si="31"/>
        <v>-1312.092275606771</v>
      </c>
      <c r="S96" s="241">
        <f t="shared" si="23"/>
        <v>-592.09946524605948</v>
      </c>
      <c r="T96" s="241">
        <f t="shared" si="24"/>
        <v>835.34891365957628</v>
      </c>
      <c r="BQ96" s="192">
        <v>42643</v>
      </c>
      <c r="BR96" s="193">
        <v>13038.93601932108</v>
      </c>
      <c r="BS96" s="193">
        <v>102.47444737225123</v>
      </c>
    </row>
    <row r="97" spans="1:76" ht="14.25" customHeight="1">
      <c r="A97" s="231"/>
      <c r="B97" s="241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41"/>
      <c r="T97" s="241"/>
      <c r="BQ97" s="192">
        <v>42735</v>
      </c>
      <c r="BR97" s="193">
        <v>13514.046362717902</v>
      </c>
      <c r="BS97" s="193">
        <v>475.11034339682192</v>
      </c>
    </row>
    <row r="98" spans="1:76" ht="14.25" customHeight="1">
      <c r="A98" s="231"/>
      <c r="B98" s="241"/>
      <c r="C98" s="239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41"/>
      <c r="T98" s="241"/>
      <c r="BQ98" s="192">
        <v>42825</v>
      </c>
      <c r="BR98" s="193">
        <v>16071.907737114572</v>
      </c>
      <c r="BS98" s="193">
        <v>2557.8613743966707</v>
      </c>
    </row>
    <row r="99" spans="1:76" ht="14.25" customHeight="1">
      <c r="A99" s="231"/>
      <c r="B99" s="241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41"/>
      <c r="T99" s="241"/>
      <c r="BQ99" s="192">
        <v>42916</v>
      </c>
      <c r="BR99" s="193">
        <v>14027.777643360747</v>
      </c>
      <c r="BS99" s="193">
        <v>-2044.1300937538253</v>
      </c>
    </row>
    <row r="100" spans="1:76" ht="14.25" customHeight="1">
      <c r="B100" s="362" t="s">
        <v>76</v>
      </c>
      <c r="C100" s="251" t="s">
        <v>67</v>
      </c>
      <c r="D100" s="251" t="s">
        <v>73</v>
      </c>
      <c r="E100" s="251" t="s">
        <v>878</v>
      </c>
      <c r="F100" s="251" t="s">
        <v>879</v>
      </c>
      <c r="G100" s="251" t="s">
        <v>880</v>
      </c>
      <c r="H100" s="251" t="s">
        <v>881</v>
      </c>
      <c r="I100" s="251" t="s">
        <v>882</v>
      </c>
      <c r="J100" s="251" t="s">
        <v>883</v>
      </c>
      <c r="K100" s="251" t="s">
        <v>884</v>
      </c>
      <c r="L100" s="251" t="s">
        <v>885</v>
      </c>
      <c r="M100" s="251" t="s">
        <v>886</v>
      </c>
      <c r="N100" s="251" t="s">
        <v>887</v>
      </c>
      <c r="O100" s="251" t="s">
        <v>888</v>
      </c>
      <c r="P100" s="251" t="s">
        <v>889</v>
      </c>
      <c r="Q100" s="251" t="s">
        <v>890</v>
      </c>
      <c r="R100" s="251" t="s">
        <v>89</v>
      </c>
      <c r="S100" s="252" t="s">
        <v>891</v>
      </c>
      <c r="T100" s="252" t="s">
        <v>892</v>
      </c>
      <c r="U100" s="253" t="s">
        <v>893</v>
      </c>
      <c r="V100" s="252" t="s">
        <v>76</v>
      </c>
      <c r="W100" s="251" t="s">
        <v>67</v>
      </c>
      <c r="X100" s="251" t="s">
        <v>73</v>
      </c>
      <c r="Y100" s="251" t="s">
        <v>878</v>
      </c>
      <c r="Z100" s="251" t="s">
        <v>879</v>
      </c>
      <c r="AA100" s="251" t="s">
        <v>880</v>
      </c>
      <c r="AB100" s="251" t="s">
        <v>881</v>
      </c>
      <c r="AC100" s="251" t="s">
        <v>882</v>
      </c>
      <c r="AD100" s="251" t="s">
        <v>883</v>
      </c>
      <c r="AE100" s="251" t="s">
        <v>884</v>
      </c>
      <c r="AF100" s="251" t="s">
        <v>885</v>
      </c>
      <c r="AG100" s="251" t="s">
        <v>886</v>
      </c>
      <c r="AH100" s="251" t="s">
        <v>887</v>
      </c>
      <c r="AI100" s="251" t="s">
        <v>888</v>
      </c>
      <c r="AJ100" s="251" t="s">
        <v>889</v>
      </c>
      <c r="AK100" s="251" t="s">
        <v>890</v>
      </c>
      <c r="AL100" s="251" t="s">
        <v>89</v>
      </c>
      <c r="AM100" s="252" t="s">
        <v>891</v>
      </c>
      <c r="AN100" s="252" t="s">
        <v>892</v>
      </c>
      <c r="BQ100" s="192">
        <v>43008</v>
      </c>
      <c r="BR100" s="193">
        <v>14954.231919022443</v>
      </c>
      <c r="BS100" s="193">
        <v>926.45427566169565</v>
      </c>
    </row>
    <row r="101" spans="1:76" ht="14.25" customHeight="1">
      <c r="B101" s="363"/>
      <c r="C101" s="251" t="s">
        <v>68</v>
      </c>
      <c r="D101" s="251" t="s">
        <v>74</v>
      </c>
      <c r="E101" s="251" t="s">
        <v>894</v>
      </c>
      <c r="F101" s="251" t="s">
        <v>895</v>
      </c>
      <c r="G101" s="251" t="s">
        <v>896</v>
      </c>
      <c r="H101" s="251" t="s">
        <v>118</v>
      </c>
      <c r="I101" s="251" t="s">
        <v>897</v>
      </c>
      <c r="J101" s="251" t="s">
        <v>127</v>
      </c>
      <c r="K101" s="251" t="s">
        <v>898</v>
      </c>
      <c r="L101" s="251" t="s">
        <v>899</v>
      </c>
      <c r="M101" s="251" t="s">
        <v>900</v>
      </c>
      <c r="N101" s="251" t="s">
        <v>152</v>
      </c>
      <c r="O101" s="251" t="s">
        <v>901</v>
      </c>
      <c r="P101" s="251" t="s">
        <v>902</v>
      </c>
      <c r="Q101" s="251" t="s">
        <v>903</v>
      </c>
      <c r="R101" s="251" t="s">
        <v>90</v>
      </c>
      <c r="S101" s="252"/>
      <c r="T101" s="252"/>
      <c r="U101" s="253"/>
      <c r="V101" s="252"/>
      <c r="W101" s="251" t="s">
        <v>68</v>
      </c>
      <c r="X101" s="251" t="s">
        <v>74</v>
      </c>
      <c r="Y101" s="251" t="s">
        <v>894</v>
      </c>
      <c r="Z101" s="251" t="s">
        <v>895</v>
      </c>
      <c r="AA101" s="251" t="s">
        <v>896</v>
      </c>
      <c r="AB101" s="251" t="s">
        <v>904</v>
      </c>
      <c r="AC101" s="251" t="s">
        <v>897</v>
      </c>
      <c r="AD101" s="251" t="s">
        <v>127</v>
      </c>
      <c r="AE101" s="251" t="s">
        <v>898</v>
      </c>
      <c r="AF101" s="251" t="s">
        <v>899</v>
      </c>
      <c r="AG101" s="251" t="s">
        <v>900</v>
      </c>
      <c r="AH101" s="251" t="s">
        <v>152</v>
      </c>
      <c r="AI101" s="251" t="s">
        <v>901</v>
      </c>
      <c r="AJ101" s="251" t="s">
        <v>902</v>
      </c>
      <c r="AK101" s="251" t="s">
        <v>903</v>
      </c>
      <c r="AL101" s="251" t="s">
        <v>90</v>
      </c>
      <c r="AM101" s="252"/>
      <c r="AN101" s="252"/>
      <c r="BQ101" s="192">
        <v>43100</v>
      </c>
      <c r="BR101" s="193">
        <v>15706.159336697412</v>
      </c>
      <c r="BS101" s="193">
        <v>751.92741767496955</v>
      </c>
    </row>
    <row r="102" spans="1:76" ht="14.25" customHeight="1">
      <c r="A102" s="254">
        <v>40999</v>
      </c>
      <c r="B102" s="255">
        <v>2254210</v>
      </c>
      <c r="C102" s="255">
        <v>111583</v>
      </c>
      <c r="D102" s="255">
        <v>38521</v>
      </c>
      <c r="E102" s="255">
        <v>199045</v>
      </c>
      <c r="F102" s="255">
        <v>188815</v>
      </c>
      <c r="G102" s="255">
        <v>131350</v>
      </c>
      <c r="H102" s="255">
        <v>210593</v>
      </c>
      <c r="I102" s="255">
        <v>119491</v>
      </c>
      <c r="J102" s="255">
        <v>111752</v>
      </c>
      <c r="K102" s="255">
        <v>102624</v>
      </c>
      <c r="L102" s="255">
        <v>211029</v>
      </c>
      <c r="M102" s="255">
        <v>43157</v>
      </c>
      <c r="N102" s="255">
        <v>171907</v>
      </c>
      <c r="O102" s="255">
        <v>156272</v>
      </c>
      <c r="P102" s="255">
        <v>265631</v>
      </c>
      <c r="Q102" s="255">
        <v>74548</v>
      </c>
      <c r="R102" s="255">
        <v>14902</v>
      </c>
      <c r="S102" s="255">
        <v>102990</v>
      </c>
      <c r="T102" s="256">
        <v>0</v>
      </c>
      <c r="U102" s="257"/>
      <c r="V102" s="255">
        <v>3981140</v>
      </c>
      <c r="W102" s="255">
        <v>119274</v>
      </c>
      <c r="X102" s="255">
        <v>528230</v>
      </c>
      <c r="Y102" s="255">
        <v>287592</v>
      </c>
      <c r="Z102" s="255">
        <v>266385</v>
      </c>
      <c r="AA102" s="255">
        <v>133784</v>
      </c>
      <c r="AB102" s="255">
        <v>270275</v>
      </c>
      <c r="AC102" s="255">
        <v>332034</v>
      </c>
      <c r="AD102" s="255">
        <v>171312</v>
      </c>
      <c r="AE102" s="255">
        <v>205869</v>
      </c>
      <c r="AF102" s="255">
        <v>366518</v>
      </c>
      <c r="AG102" s="255">
        <v>182045</v>
      </c>
      <c r="AH102" s="255">
        <v>160953</v>
      </c>
      <c r="AI102" s="255">
        <v>294072</v>
      </c>
      <c r="AJ102" s="255">
        <v>380173</v>
      </c>
      <c r="AK102" s="255">
        <v>131127</v>
      </c>
      <c r="AL102" s="255">
        <v>131957</v>
      </c>
      <c r="AM102" s="255">
        <v>19543</v>
      </c>
      <c r="AN102" s="256">
        <v>0</v>
      </c>
      <c r="BQ102" s="192">
        <v>43190</v>
      </c>
      <c r="BR102" s="193">
        <v>16479.833174063126</v>
      </c>
      <c r="BS102" s="193">
        <v>773.67383736571355</v>
      </c>
    </row>
    <row r="103" spans="1:76" ht="14.25" customHeight="1">
      <c r="A103" s="258">
        <v>41090</v>
      </c>
      <c r="B103" s="255">
        <v>2325052</v>
      </c>
      <c r="C103" s="255">
        <v>60247</v>
      </c>
      <c r="D103" s="255">
        <v>27094</v>
      </c>
      <c r="E103" s="255">
        <v>209399</v>
      </c>
      <c r="F103" s="255">
        <v>193369</v>
      </c>
      <c r="G103" s="255">
        <v>136901</v>
      </c>
      <c r="H103" s="255">
        <v>326005</v>
      </c>
      <c r="I103" s="255">
        <v>145640</v>
      </c>
      <c r="J103" s="255">
        <v>83376</v>
      </c>
      <c r="K103" s="255">
        <v>138870</v>
      </c>
      <c r="L103" s="255">
        <v>235568</v>
      </c>
      <c r="M103" s="255">
        <v>73092</v>
      </c>
      <c r="N103" s="255">
        <v>166531</v>
      </c>
      <c r="O103" s="255">
        <v>187615</v>
      </c>
      <c r="P103" s="255">
        <v>141616</v>
      </c>
      <c r="Q103" s="255">
        <v>81931</v>
      </c>
      <c r="R103" s="255">
        <v>10754</v>
      </c>
      <c r="S103" s="255">
        <v>107043</v>
      </c>
      <c r="T103" s="255">
        <v>0</v>
      </c>
      <c r="U103" s="257"/>
      <c r="V103" s="255">
        <v>4165596</v>
      </c>
      <c r="W103" s="255">
        <v>113816</v>
      </c>
      <c r="X103" s="255">
        <v>494302</v>
      </c>
      <c r="Y103" s="255">
        <v>413269</v>
      </c>
      <c r="Z103" s="255">
        <v>253685</v>
      </c>
      <c r="AA103" s="255">
        <v>154217</v>
      </c>
      <c r="AB103" s="255">
        <v>323923</v>
      </c>
      <c r="AC103" s="255">
        <v>354519</v>
      </c>
      <c r="AD103" s="255">
        <v>166629</v>
      </c>
      <c r="AE103" s="255">
        <v>242665</v>
      </c>
      <c r="AF103" s="255">
        <v>380648</v>
      </c>
      <c r="AG103" s="255">
        <v>248898</v>
      </c>
      <c r="AH103" s="255">
        <v>162622</v>
      </c>
      <c r="AI103" s="255">
        <v>304553</v>
      </c>
      <c r="AJ103" s="255">
        <v>263870</v>
      </c>
      <c r="AK103" s="255">
        <v>134521</v>
      </c>
      <c r="AL103" s="255">
        <v>125576</v>
      </c>
      <c r="AM103" s="255">
        <v>27878</v>
      </c>
      <c r="AN103" s="256">
        <v>0</v>
      </c>
      <c r="BQ103" s="192">
        <v>43281</v>
      </c>
      <c r="BR103" s="193">
        <v>16694.266310438958</v>
      </c>
      <c r="BS103" s="193">
        <v>214.43313637583196</v>
      </c>
    </row>
    <row r="104" spans="1:76" ht="14.25" customHeight="1">
      <c r="A104" s="258">
        <v>41182</v>
      </c>
      <c r="B104" s="255">
        <v>2472511</v>
      </c>
      <c r="C104" s="255">
        <v>131915</v>
      </c>
      <c r="D104" s="255">
        <v>24996</v>
      </c>
      <c r="E104" s="255">
        <v>216348</v>
      </c>
      <c r="F104" s="255">
        <v>176058</v>
      </c>
      <c r="G104" s="255">
        <v>121587</v>
      </c>
      <c r="H104" s="255">
        <v>333324</v>
      </c>
      <c r="I104" s="255">
        <v>151137</v>
      </c>
      <c r="J104" s="255">
        <v>109727</v>
      </c>
      <c r="K104" s="255">
        <v>138879</v>
      </c>
      <c r="L104" s="255">
        <v>238645</v>
      </c>
      <c r="M104" s="255">
        <v>95167</v>
      </c>
      <c r="N104" s="255">
        <v>184707</v>
      </c>
      <c r="O104" s="255">
        <v>161188</v>
      </c>
      <c r="P104" s="255">
        <v>212248</v>
      </c>
      <c r="Q104" s="255">
        <v>66720</v>
      </c>
      <c r="R104" s="255">
        <v>19528</v>
      </c>
      <c r="S104" s="255">
        <v>90336</v>
      </c>
      <c r="T104" s="256">
        <v>0</v>
      </c>
      <c r="U104" s="257"/>
      <c r="V104" s="255">
        <v>4094530</v>
      </c>
      <c r="W104" s="255">
        <v>102760</v>
      </c>
      <c r="X104" s="255">
        <v>616726</v>
      </c>
      <c r="Y104" s="255">
        <v>429655</v>
      </c>
      <c r="Z104" s="255">
        <v>265424</v>
      </c>
      <c r="AA104" s="255">
        <v>142727</v>
      </c>
      <c r="AB104" s="255">
        <v>289375</v>
      </c>
      <c r="AC104" s="255">
        <v>335072</v>
      </c>
      <c r="AD104" s="255">
        <v>163685</v>
      </c>
      <c r="AE104" s="255">
        <v>233053</v>
      </c>
      <c r="AF104" s="255">
        <v>360493</v>
      </c>
      <c r="AG104" s="255">
        <v>194185</v>
      </c>
      <c r="AH104" s="255">
        <v>160663</v>
      </c>
      <c r="AI104" s="255">
        <v>309776</v>
      </c>
      <c r="AJ104" s="255">
        <v>198165</v>
      </c>
      <c r="AK104" s="255">
        <v>111586</v>
      </c>
      <c r="AL104" s="255">
        <v>151510</v>
      </c>
      <c r="AM104" s="255">
        <v>29678</v>
      </c>
      <c r="AN104" s="255">
        <v>0</v>
      </c>
      <c r="BQ104" s="192">
        <v>43373</v>
      </c>
      <c r="BR104" s="193">
        <v>16637.167494881629</v>
      </c>
      <c r="BS104" s="193">
        <v>-57.098815557328635</v>
      </c>
      <c r="BV104" s="2" t="s">
        <v>906</v>
      </c>
    </row>
    <row r="105" spans="1:76" ht="14.25" customHeight="1">
      <c r="A105" s="258">
        <v>41274</v>
      </c>
      <c r="B105" s="255">
        <v>2576695</v>
      </c>
      <c r="C105" s="255">
        <v>112368</v>
      </c>
      <c r="D105" s="255">
        <v>27605</v>
      </c>
      <c r="E105" s="255">
        <v>270757</v>
      </c>
      <c r="F105" s="255">
        <v>170382</v>
      </c>
      <c r="G105" s="255">
        <v>129743</v>
      </c>
      <c r="H105" s="255">
        <v>260220</v>
      </c>
      <c r="I105" s="255">
        <v>170510</v>
      </c>
      <c r="J105" s="255">
        <v>133042</v>
      </c>
      <c r="K105" s="255">
        <v>130762</v>
      </c>
      <c r="L105" s="255">
        <v>258533</v>
      </c>
      <c r="M105" s="255">
        <v>50481</v>
      </c>
      <c r="N105" s="255">
        <v>196268</v>
      </c>
      <c r="O105" s="255">
        <v>165837</v>
      </c>
      <c r="P105" s="255">
        <v>310882</v>
      </c>
      <c r="Q105" s="255">
        <v>67709</v>
      </c>
      <c r="R105" s="255">
        <v>26243</v>
      </c>
      <c r="S105" s="255">
        <v>95356</v>
      </c>
      <c r="T105" s="255">
        <v>0</v>
      </c>
      <c r="U105" s="257"/>
      <c r="V105" s="255">
        <v>3974630</v>
      </c>
      <c r="W105" s="255">
        <v>108627</v>
      </c>
      <c r="X105" s="255">
        <v>517454</v>
      </c>
      <c r="Y105" s="255">
        <v>417637</v>
      </c>
      <c r="Z105" s="255">
        <v>235540</v>
      </c>
      <c r="AA105" s="255">
        <v>134881</v>
      </c>
      <c r="AB105" s="255">
        <v>271817</v>
      </c>
      <c r="AC105" s="255">
        <v>321235</v>
      </c>
      <c r="AD105" s="255">
        <v>167011</v>
      </c>
      <c r="AE105" s="255">
        <v>218405</v>
      </c>
      <c r="AF105" s="255">
        <v>366534</v>
      </c>
      <c r="AG105" s="255">
        <v>239258</v>
      </c>
      <c r="AH105" s="255">
        <v>170426</v>
      </c>
      <c r="AI105" s="255">
        <v>298219</v>
      </c>
      <c r="AJ105" s="255">
        <v>272346</v>
      </c>
      <c r="AK105" s="255">
        <v>121067</v>
      </c>
      <c r="AL105" s="255">
        <v>92281</v>
      </c>
      <c r="AM105" s="255">
        <v>21890</v>
      </c>
      <c r="AN105" s="255">
        <v>0</v>
      </c>
      <c r="BQ105" s="192">
        <v>43465</v>
      </c>
      <c r="BR105" s="193">
        <v>17437.989458724347</v>
      </c>
      <c r="BS105" s="193">
        <v>800.82196384271811</v>
      </c>
      <c r="BV105" s="21">
        <v>43899</v>
      </c>
      <c r="BW105" s="259">
        <v>387</v>
      </c>
    </row>
    <row r="106" spans="1:76" ht="14.25" customHeight="1">
      <c r="A106" s="258">
        <v>41364</v>
      </c>
      <c r="B106" s="255">
        <v>2075721</v>
      </c>
      <c r="C106" s="255">
        <v>92389</v>
      </c>
      <c r="D106" s="255">
        <v>28386</v>
      </c>
      <c r="E106" s="255">
        <v>163594</v>
      </c>
      <c r="F106" s="255">
        <v>166786</v>
      </c>
      <c r="G106" s="255">
        <v>123477</v>
      </c>
      <c r="H106" s="255">
        <v>273039</v>
      </c>
      <c r="I106" s="255">
        <v>120908</v>
      </c>
      <c r="J106" s="255">
        <v>123211</v>
      </c>
      <c r="K106" s="255">
        <v>112641</v>
      </c>
      <c r="L106" s="255">
        <v>233087</v>
      </c>
      <c r="M106" s="255">
        <v>43802</v>
      </c>
      <c r="N106" s="255">
        <v>150448</v>
      </c>
      <c r="O106" s="255">
        <v>160711</v>
      </c>
      <c r="P106" s="255">
        <v>101336</v>
      </c>
      <c r="Q106" s="255">
        <v>72035</v>
      </c>
      <c r="R106" s="255">
        <v>30470</v>
      </c>
      <c r="S106" s="255">
        <v>79401</v>
      </c>
      <c r="T106" s="256">
        <v>0</v>
      </c>
      <c r="U106" s="257"/>
      <c r="V106" s="255">
        <v>3727156</v>
      </c>
      <c r="W106" s="255">
        <v>115444</v>
      </c>
      <c r="X106" s="255">
        <v>643657</v>
      </c>
      <c r="Y106" s="255">
        <v>318649</v>
      </c>
      <c r="Z106" s="255">
        <v>243101</v>
      </c>
      <c r="AA106" s="255">
        <v>134489</v>
      </c>
      <c r="AB106" s="255">
        <v>183669</v>
      </c>
      <c r="AC106" s="255">
        <v>324303</v>
      </c>
      <c r="AD106" s="255">
        <v>163148</v>
      </c>
      <c r="AE106" s="255">
        <v>197127</v>
      </c>
      <c r="AF106" s="255">
        <v>335301</v>
      </c>
      <c r="AG106" s="255">
        <v>205104</v>
      </c>
      <c r="AH106" s="255">
        <v>153437</v>
      </c>
      <c r="AI106" s="255">
        <v>292088</v>
      </c>
      <c r="AJ106" s="255">
        <v>212480</v>
      </c>
      <c r="AK106" s="255">
        <v>113201</v>
      </c>
      <c r="AL106" s="255">
        <v>70864</v>
      </c>
      <c r="AM106" s="255">
        <v>21096</v>
      </c>
      <c r="AN106" s="256">
        <v>0</v>
      </c>
      <c r="BQ106" s="192">
        <v>43555</v>
      </c>
      <c r="BR106" s="193">
        <v>18321.30398302574</v>
      </c>
      <c r="BS106" s="193">
        <v>883.31452430139325</v>
      </c>
      <c r="BV106" s="21">
        <v>43902</v>
      </c>
      <c r="BW106" s="259">
        <v>347.8</v>
      </c>
    </row>
    <row r="107" spans="1:76" ht="14.25" customHeight="1">
      <c r="A107" s="254">
        <v>41455</v>
      </c>
      <c r="B107" s="255">
        <v>2284398</v>
      </c>
      <c r="C107" s="255">
        <v>64455</v>
      </c>
      <c r="D107" s="255">
        <v>31808</v>
      </c>
      <c r="E107" s="255">
        <v>233720</v>
      </c>
      <c r="F107" s="255">
        <v>190278</v>
      </c>
      <c r="G107" s="255">
        <v>135962</v>
      </c>
      <c r="H107" s="255">
        <v>216728</v>
      </c>
      <c r="I107" s="255">
        <v>125801</v>
      </c>
      <c r="J107" s="255">
        <v>111104</v>
      </c>
      <c r="K107" s="255">
        <v>146584</v>
      </c>
      <c r="L107" s="255">
        <v>240129</v>
      </c>
      <c r="M107" s="255">
        <v>48984</v>
      </c>
      <c r="N107" s="255">
        <v>169456</v>
      </c>
      <c r="O107" s="255">
        <v>174085</v>
      </c>
      <c r="P107" s="255">
        <v>186208</v>
      </c>
      <c r="Q107" s="255">
        <v>76847</v>
      </c>
      <c r="R107" s="255">
        <v>46518</v>
      </c>
      <c r="S107" s="255">
        <v>85730</v>
      </c>
      <c r="T107" s="255">
        <v>0</v>
      </c>
      <c r="U107" s="257"/>
      <c r="V107" s="255">
        <v>4386155</v>
      </c>
      <c r="W107" s="255">
        <v>119435</v>
      </c>
      <c r="X107" s="255">
        <v>502341</v>
      </c>
      <c r="Y107" s="255">
        <v>417564</v>
      </c>
      <c r="Z107" s="255">
        <v>290486</v>
      </c>
      <c r="AA107" s="255">
        <v>159719</v>
      </c>
      <c r="AB107" s="255">
        <v>220876</v>
      </c>
      <c r="AC107" s="255">
        <v>382487</v>
      </c>
      <c r="AD107" s="255">
        <v>200970</v>
      </c>
      <c r="AE107" s="255">
        <v>245501</v>
      </c>
      <c r="AF107" s="255">
        <v>389654</v>
      </c>
      <c r="AG107" s="255">
        <v>353782</v>
      </c>
      <c r="AH107" s="255">
        <v>170310</v>
      </c>
      <c r="AI107" s="255">
        <v>397411</v>
      </c>
      <c r="AJ107" s="255">
        <v>310525</v>
      </c>
      <c r="AK107" s="255">
        <v>129626</v>
      </c>
      <c r="AL107" s="255">
        <v>70465</v>
      </c>
      <c r="AM107" s="255">
        <v>25002</v>
      </c>
      <c r="AN107" s="255">
        <v>0</v>
      </c>
      <c r="BQ107" s="192">
        <v>43646</v>
      </c>
      <c r="BR107" s="193">
        <v>19879.869055640029</v>
      </c>
      <c r="BS107" s="193">
        <v>1558.5650726142885</v>
      </c>
      <c r="BV107" s="21">
        <v>43906</v>
      </c>
      <c r="BW107" s="259">
        <v>411.05</v>
      </c>
    </row>
    <row r="108" spans="1:76" ht="14.25" customHeight="1">
      <c r="A108" s="258">
        <v>41547</v>
      </c>
      <c r="B108" s="255">
        <v>2606281</v>
      </c>
      <c r="C108" s="255">
        <v>116460</v>
      </c>
      <c r="D108" s="255">
        <v>53570</v>
      </c>
      <c r="E108" s="255">
        <v>213543</v>
      </c>
      <c r="F108" s="255">
        <v>196082</v>
      </c>
      <c r="G108" s="255">
        <v>151974</v>
      </c>
      <c r="H108" s="255">
        <v>296524</v>
      </c>
      <c r="I108" s="255">
        <v>180967</v>
      </c>
      <c r="J108" s="255">
        <v>90372</v>
      </c>
      <c r="K108" s="255">
        <v>168798</v>
      </c>
      <c r="L108" s="255">
        <v>257462</v>
      </c>
      <c r="M108" s="255">
        <v>150358</v>
      </c>
      <c r="N108" s="255">
        <v>188250</v>
      </c>
      <c r="O108" s="255">
        <v>189142</v>
      </c>
      <c r="P108" s="255">
        <v>92224</v>
      </c>
      <c r="Q108" s="255">
        <v>82903</v>
      </c>
      <c r="R108" s="255">
        <v>41423</v>
      </c>
      <c r="S108" s="255">
        <v>90149</v>
      </c>
      <c r="T108" s="255">
        <v>46082</v>
      </c>
      <c r="U108" s="257"/>
      <c r="V108" s="255">
        <v>4328743</v>
      </c>
      <c r="W108" s="255">
        <v>112310</v>
      </c>
      <c r="X108" s="255">
        <v>615822</v>
      </c>
      <c r="Y108" s="255">
        <v>494212</v>
      </c>
      <c r="Z108" s="255">
        <v>340528</v>
      </c>
      <c r="AA108" s="255">
        <v>147937</v>
      </c>
      <c r="AB108" s="255">
        <v>256178</v>
      </c>
      <c r="AC108" s="255">
        <v>367579</v>
      </c>
      <c r="AD108" s="255">
        <v>148501</v>
      </c>
      <c r="AE108" s="255">
        <v>251578</v>
      </c>
      <c r="AF108" s="255">
        <v>377235</v>
      </c>
      <c r="AG108" s="255">
        <v>215460</v>
      </c>
      <c r="AH108" s="255">
        <v>185201</v>
      </c>
      <c r="AI108" s="255">
        <v>270995</v>
      </c>
      <c r="AJ108" s="255">
        <v>219794</v>
      </c>
      <c r="AK108" s="255">
        <v>122879</v>
      </c>
      <c r="AL108" s="255">
        <v>167942</v>
      </c>
      <c r="AM108" s="255">
        <v>33060</v>
      </c>
      <c r="AN108" s="255">
        <v>1530</v>
      </c>
      <c r="BQ108" s="192">
        <v>43738</v>
      </c>
      <c r="BR108" s="193">
        <v>20424.750538960478</v>
      </c>
      <c r="BS108" s="193">
        <v>544.88148332044875</v>
      </c>
      <c r="BV108" s="21">
        <v>43921</v>
      </c>
      <c r="BW108" s="259">
        <v>618.15</v>
      </c>
    </row>
    <row r="109" spans="1:76" ht="14.25" customHeight="1">
      <c r="A109" s="254">
        <v>41639</v>
      </c>
      <c r="B109" s="255">
        <v>2623048</v>
      </c>
      <c r="C109" s="255">
        <v>153570</v>
      </c>
      <c r="D109" s="255">
        <v>52791</v>
      </c>
      <c r="E109" s="255">
        <v>235854</v>
      </c>
      <c r="F109" s="255">
        <v>192909</v>
      </c>
      <c r="G109" s="255">
        <v>172582</v>
      </c>
      <c r="H109" s="255">
        <v>215652</v>
      </c>
      <c r="I109" s="255">
        <v>173497</v>
      </c>
      <c r="J109" s="255">
        <v>96897</v>
      </c>
      <c r="K109" s="255">
        <v>155210</v>
      </c>
      <c r="L109" s="255">
        <v>276473</v>
      </c>
      <c r="M109" s="255">
        <v>93615</v>
      </c>
      <c r="N109" s="255">
        <v>176219</v>
      </c>
      <c r="O109" s="255">
        <v>201211</v>
      </c>
      <c r="P109" s="255">
        <v>159082</v>
      </c>
      <c r="Q109" s="255">
        <v>96513</v>
      </c>
      <c r="R109" s="255">
        <v>60045</v>
      </c>
      <c r="S109" s="255">
        <v>102688</v>
      </c>
      <c r="T109" s="255">
        <v>8240</v>
      </c>
      <c r="U109" s="257"/>
      <c r="V109" s="255">
        <v>4085846</v>
      </c>
      <c r="W109" s="255">
        <v>120755</v>
      </c>
      <c r="X109" s="255">
        <v>410871</v>
      </c>
      <c r="Y109" s="255">
        <v>419441</v>
      </c>
      <c r="Z109" s="255">
        <v>299551</v>
      </c>
      <c r="AA109" s="255">
        <v>137162</v>
      </c>
      <c r="AB109" s="255">
        <v>326452</v>
      </c>
      <c r="AC109" s="255">
        <v>307762</v>
      </c>
      <c r="AD109" s="255">
        <v>155155</v>
      </c>
      <c r="AE109" s="255">
        <v>227099</v>
      </c>
      <c r="AF109" s="255">
        <v>401753</v>
      </c>
      <c r="AG109" s="255">
        <v>264557</v>
      </c>
      <c r="AH109" s="255">
        <v>184466</v>
      </c>
      <c r="AI109" s="255">
        <v>292941</v>
      </c>
      <c r="AJ109" s="255">
        <v>213509</v>
      </c>
      <c r="AK109" s="255">
        <v>134704</v>
      </c>
      <c r="AL109" s="255">
        <v>160789</v>
      </c>
      <c r="AM109" s="255">
        <v>28090</v>
      </c>
      <c r="AN109" s="255">
        <v>789</v>
      </c>
      <c r="BQ109" s="192">
        <v>43830</v>
      </c>
      <c r="BR109" s="193">
        <v>18560.420839494636</v>
      </c>
      <c r="BS109" s="193">
        <v>-1864.3296994658413</v>
      </c>
    </row>
    <row r="110" spans="1:76" ht="14.25" customHeight="1">
      <c r="A110" s="258">
        <v>41729</v>
      </c>
      <c r="B110" s="256">
        <v>2355720</v>
      </c>
      <c r="C110" s="255">
        <v>121604</v>
      </c>
      <c r="D110" s="255">
        <v>34639</v>
      </c>
      <c r="E110" s="255">
        <v>193294</v>
      </c>
      <c r="F110" s="255">
        <v>239818</v>
      </c>
      <c r="G110" s="255">
        <v>172560</v>
      </c>
      <c r="H110" s="255">
        <v>193548</v>
      </c>
      <c r="I110" s="255">
        <v>152158</v>
      </c>
      <c r="J110" s="255">
        <v>103043</v>
      </c>
      <c r="K110" s="255">
        <v>144372</v>
      </c>
      <c r="L110" s="255">
        <v>241476</v>
      </c>
      <c r="M110" s="255">
        <v>62545</v>
      </c>
      <c r="N110" s="255">
        <v>144569</v>
      </c>
      <c r="O110" s="255">
        <v>196313</v>
      </c>
      <c r="P110" s="255">
        <v>81246</v>
      </c>
      <c r="Q110" s="255">
        <v>99462</v>
      </c>
      <c r="R110" s="255">
        <v>86968</v>
      </c>
      <c r="S110" s="255">
        <v>84448</v>
      </c>
      <c r="T110" s="256">
        <v>3657</v>
      </c>
      <c r="U110" s="257"/>
      <c r="V110" s="256">
        <v>3983214</v>
      </c>
      <c r="W110" s="255">
        <v>129206</v>
      </c>
      <c r="X110" s="255">
        <v>285485</v>
      </c>
      <c r="Y110" s="255">
        <v>394229</v>
      </c>
      <c r="Z110" s="255">
        <v>425465</v>
      </c>
      <c r="AA110" s="255">
        <v>151663</v>
      </c>
      <c r="AB110" s="255">
        <v>269663</v>
      </c>
      <c r="AC110" s="255">
        <v>344351</v>
      </c>
      <c r="AD110" s="255">
        <v>177807</v>
      </c>
      <c r="AE110" s="255">
        <v>218920</v>
      </c>
      <c r="AF110" s="255">
        <v>358483</v>
      </c>
      <c r="AG110" s="255">
        <v>221059</v>
      </c>
      <c r="AH110" s="255">
        <v>165943</v>
      </c>
      <c r="AI110" s="255">
        <v>282202</v>
      </c>
      <c r="AJ110" s="255">
        <v>284044</v>
      </c>
      <c r="AK110" s="255">
        <v>120021</v>
      </c>
      <c r="AL110" s="255">
        <v>121575</v>
      </c>
      <c r="AM110" s="255">
        <v>32621</v>
      </c>
      <c r="AN110" s="256">
        <v>478</v>
      </c>
      <c r="BQ110" s="260">
        <v>43921</v>
      </c>
      <c r="BR110" s="261">
        <f>BR109+BS110</f>
        <v>16143.193005906727</v>
      </c>
      <c r="BS110" s="261">
        <f>BX110+BX111-SUM(BW105:BW108)</f>
        <v>-2417.2278335879091</v>
      </c>
      <c r="BV110" s="192">
        <v>43861</v>
      </c>
      <c r="BW110" s="193">
        <v>19072.079933412362</v>
      </c>
      <c r="BX110" s="193">
        <v>-1595.5356309539129</v>
      </c>
    </row>
    <row r="111" spans="1:76" ht="14.25" customHeight="1">
      <c r="A111" s="258">
        <v>41820</v>
      </c>
      <c r="B111" s="256">
        <v>2542029</v>
      </c>
      <c r="C111" s="256">
        <v>85726</v>
      </c>
      <c r="D111" s="256">
        <v>30943</v>
      </c>
      <c r="E111" s="256">
        <v>236720</v>
      </c>
      <c r="F111" s="256">
        <v>263652</v>
      </c>
      <c r="G111" s="256">
        <v>176128</v>
      </c>
      <c r="H111" s="256">
        <v>263011</v>
      </c>
      <c r="I111" s="256">
        <v>145107</v>
      </c>
      <c r="J111" s="256">
        <v>93006</v>
      </c>
      <c r="K111" s="256">
        <v>171716</v>
      </c>
      <c r="L111" s="256">
        <v>266753</v>
      </c>
      <c r="M111" s="256">
        <v>73154</v>
      </c>
      <c r="N111" s="256">
        <v>164934</v>
      </c>
      <c r="O111" s="256">
        <v>212332</v>
      </c>
      <c r="P111" s="256">
        <v>86067</v>
      </c>
      <c r="Q111" s="256">
        <v>102920</v>
      </c>
      <c r="R111" s="256">
        <v>73393</v>
      </c>
      <c r="S111" s="256">
        <v>72625</v>
      </c>
      <c r="T111" s="256">
        <v>23841</v>
      </c>
      <c r="U111" s="257"/>
      <c r="V111" s="256">
        <v>4511601</v>
      </c>
      <c r="W111" s="256">
        <v>120777</v>
      </c>
      <c r="X111" s="256">
        <v>514624</v>
      </c>
      <c r="Y111" s="256">
        <v>456200</v>
      </c>
      <c r="Z111" s="256">
        <v>386299</v>
      </c>
      <c r="AA111" s="256">
        <v>173221</v>
      </c>
      <c r="AB111" s="256">
        <v>301267</v>
      </c>
      <c r="AC111" s="256">
        <v>359845</v>
      </c>
      <c r="AD111" s="256">
        <v>175351</v>
      </c>
      <c r="AE111" s="256">
        <v>260177</v>
      </c>
      <c r="AF111" s="256">
        <v>394596</v>
      </c>
      <c r="AG111" s="256">
        <v>243732</v>
      </c>
      <c r="AH111" s="256">
        <v>187829</v>
      </c>
      <c r="AI111" s="256">
        <v>319383</v>
      </c>
      <c r="AJ111" s="256">
        <v>333823</v>
      </c>
      <c r="AK111" s="256">
        <v>138515</v>
      </c>
      <c r="AL111" s="256">
        <v>116179</v>
      </c>
      <c r="AM111" s="256">
        <v>29041</v>
      </c>
      <c r="AN111" s="256">
        <v>741</v>
      </c>
      <c r="BV111" s="192">
        <v>43890</v>
      </c>
      <c r="BW111" s="193">
        <v>19464.870134902194</v>
      </c>
      <c r="BX111" s="193">
        <v>942.3077973660038</v>
      </c>
    </row>
    <row r="112" spans="1:76" ht="14.25" customHeight="1">
      <c r="A112" s="258">
        <v>41912</v>
      </c>
      <c r="B112" s="256">
        <v>2716046</v>
      </c>
      <c r="C112" s="256">
        <v>92793</v>
      </c>
      <c r="D112" s="256">
        <v>39214</v>
      </c>
      <c r="E112" s="256">
        <v>266292</v>
      </c>
      <c r="F112" s="256">
        <v>233008</v>
      </c>
      <c r="G112" s="256">
        <v>164077</v>
      </c>
      <c r="H112" s="256">
        <v>320155</v>
      </c>
      <c r="I112" s="256">
        <v>160905</v>
      </c>
      <c r="J112" s="256">
        <v>104311</v>
      </c>
      <c r="K112" s="256">
        <v>168270</v>
      </c>
      <c r="L112" s="256">
        <v>254082</v>
      </c>
      <c r="M112" s="256">
        <v>82014</v>
      </c>
      <c r="N112" s="256">
        <v>205236</v>
      </c>
      <c r="O112" s="256">
        <v>215528</v>
      </c>
      <c r="P112" s="256">
        <v>125359</v>
      </c>
      <c r="Q112" s="256">
        <v>94545</v>
      </c>
      <c r="R112" s="256">
        <v>77953</v>
      </c>
      <c r="S112" s="256">
        <v>82504</v>
      </c>
      <c r="T112" s="256">
        <v>29802</v>
      </c>
      <c r="U112" s="257"/>
      <c r="V112" s="256">
        <v>4511699</v>
      </c>
      <c r="W112" s="256">
        <v>125588</v>
      </c>
      <c r="X112" s="256">
        <v>427345</v>
      </c>
      <c r="Y112" s="256">
        <v>520918</v>
      </c>
      <c r="Z112" s="256">
        <v>442952</v>
      </c>
      <c r="AA112" s="256">
        <v>163044</v>
      </c>
      <c r="AB112" s="256">
        <v>373515</v>
      </c>
      <c r="AC112" s="256">
        <v>341720</v>
      </c>
      <c r="AD112" s="256">
        <v>167798</v>
      </c>
      <c r="AE112" s="256">
        <v>255746</v>
      </c>
      <c r="AF112" s="256">
        <v>363490</v>
      </c>
      <c r="AG112" s="256">
        <v>249198</v>
      </c>
      <c r="AH112" s="256">
        <v>190887</v>
      </c>
      <c r="AI112" s="256">
        <v>309155</v>
      </c>
      <c r="AJ112" s="256">
        <v>263677</v>
      </c>
      <c r="AK112" s="256">
        <v>142387</v>
      </c>
      <c r="AL112" s="256">
        <v>135349</v>
      </c>
      <c r="AM112" s="256">
        <v>36892</v>
      </c>
      <c r="AN112" s="256">
        <v>2037</v>
      </c>
      <c r="BT112" s="193"/>
      <c r="BV112" s="260">
        <v>43921</v>
      </c>
    </row>
    <row r="113" spans="1:69" ht="14.25" customHeight="1">
      <c r="A113" s="262">
        <v>42004</v>
      </c>
      <c r="B113" s="256">
        <v>2754987</v>
      </c>
      <c r="C113" s="256">
        <v>139838</v>
      </c>
      <c r="D113" s="256">
        <v>28601</v>
      </c>
      <c r="E113" s="256">
        <v>266771</v>
      </c>
      <c r="F113" s="256">
        <v>284622</v>
      </c>
      <c r="G113" s="256">
        <v>172827</v>
      </c>
      <c r="H113" s="256">
        <v>153360</v>
      </c>
      <c r="I113" s="256">
        <v>175376</v>
      </c>
      <c r="J113" s="256">
        <v>120427</v>
      </c>
      <c r="K113" s="256">
        <v>158749</v>
      </c>
      <c r="L113" s="256">
        <v>277842</v>
      </c>
      <c r="M113" s="256">
        <v>91228</v>
      </c>
      <c r="N113" s="256">
        <v>168437</v>
      </c>
      <c r="O113" s="256">
        <v>218509</v>
      </c>
      <c r="P113" s="256">
        <v>196500</v>
      </c>
      <c r="Q113" s="256">
        <v>102709</v>
      </c>
      <c r="R113" s="256">
        <v>102905</v>
      </c>
      <c r="S113" s="256">
        <v>89643</v>
      </c>
      <c r="T113" s="256">
        <v>6643</v>
      </c>
      <c r="U113" s="257"/>
      <c r="V113" s="256">
        <v>4122891</v>
      </c>
      <c r="W113" s="256">
        <v>119811</v>
      </c>
      <c r="X113" s="256">
        <v>239444</v>
      </c>
      <c r="Y113" s="256">
        <v>446223</v>
      </c>
      <c r="Z113" s="256">
        <v>401169</v>
      </c>
      <c r="AA113" s="256">
        <v>158835</v>
      </c>
      <c r="AB113" s="256">
        <v>289654</v>
      </c>
      <c r="AC113" s="256">
        <v>323770</v>
      </c>
      <c r="AD113" s="256">
        <v>189050</v>
      </c>
      <c r="AE113" s="256">
        <v>238386</v>
      </c>
      <c r="AF113" s="256">
        <v>354272</v>
      </c>
      <c r="AG113" s="256">
        <v>302988</v>
      </c>
      <c r="AH113" s="256">
        <v>194618</v>
      </c>
      <c r="AI113" s="256">
        <v>301317</v>
      </c>
      <c r="AJ113" s="256">
        <v>245830</v>
      </c>
      <c r="AK113" s="256">
        <v>145882</v>
      </c>
      <c r="AL113" s="256">
        <v>144254</v>
      </c>
      <c r="AM113" s="256">
        <v>25489</v>
      </c>
      <c r="AN113" s="256">
        <v>1896</v>
      </c>
      <c r="BQ113" s="192"/>
    </row>
    <row r="114" spans="1:69" ht="14.25" customHeight="1">
      <c r="A114" s="263">
        <v>42094</v>
      </c>
      <c r="B114" s="255">
        <v>2573058</v>
      </c>
      <c r="C114" s="255">
        <v>146612</v>
      </c>
      <c r="D114" s="255">
        <v>29834</v>
      </c>
      <c r="E114" s="255">
        <v>229323</v>
      </c>
      <c r="F114" s="255">
        <v>273774</v>
      </c>
      <c r="G114" s="255">
        <v>175126</v>
      </c>
      <c r="H114" s="255">
        <v>105974</v>
      </c>
      <c r="I114" s="255">
        <v>162823</v>
      </c>
      <c r="J114" s="255">
        <v>113553</v>
      </c>
      <c r="K114" s="255">
        <v>153001</v>
      </c>
      <c r="L114" s="255">
        <v>254030</v>
      </c>
      <c r="M114" s="255">
        <v>79656</v>
      </c>
      <c r="N114" s="255">
        <v>157507</v>
      </c>
      <c r="O114" s="255">
        <v>195223</v>
      </c>
      <c r="P114" s="255">
        <v>192893</v>
      </c>
      <c r="Q114" s="255">
        <v>109102</v>
      </c>
      <c r="R114" s="255">
        <v>107884</v>
      </c>
      <c r="S114" s="255">
        <v>84466</v>
      </c>
      <c r="T114" s="255">
        <v>2278</v>
      </c>
      <c r="U114" s="257"/>
      <c r="V114" s="255">
        <v>4261953</v>
      </c>
      <c r="W114" s="255">
        <v>146254</v>
      </c>
      <c r="X114" s="255">
        <v>253719</v>
      </c>
      <c r="Y114" s="255">
        <v>405658</v>
      </c>
      <c r="Z114" s="255">
        <v>472940</v>
      </c>
      <c r="AA114" s="255">
        <v>169201</v>
      </c>
      <c r="AB114" s="255">
        <v>245795</v>
      </c>
      <c r="AC114" s="255">
        <v>367271</v>
      </c>
      <c r="AD114" s="255">
        <v>216777</v>
      </c>
      <c r="AE114" s="255">
        <v>250176</v>
      </c>
      <c r="AF114" s="255">
        <v>353508</v>
      </c>
      <c r="AG114" s="255">
        <v>252782</v>
      </c>
      <c r="AH114" s="255">
        <v>190054</v>
      </c>
      <c r="AI114" s="255">
        <v>299044</v>
      </c>
      <c r="AJ114" s="255">
        <v>319336</v>
      </c>
      <c r="AK114" s="255">
        <v>153032</v>
      </c>
      <c r="AL114" s="255">
        <v>142659</v>
      </c>
      <c r="AM114" s="255">
        <v>23065</v>
      </c>
      <c r="AN114" s="255">
        <v>683</v>
      </c>
    </row>
    <row r="115" spans="1:69" ht="14.25" customHeight="1">
      <c r="A115" s="258">
        <v>42185</v>
      </c>
      <c r="B115" s="255">
        <v>2932885</v>
      </c>
      <c r="C115" s="255">
        <v>107573</v>
      </c>
      <c r="D115" s="255">
        <v>25181</v>
      </c>
      <c r="E115" s="255">
        <v>269588</v>
      </c>
      <c r="F115" s="255">
        <v>296467</v>
      </c>
      <c r="G115" s="255">
        <v>198743</v>
      </c>
      <c r="H115" s="255">
        <v>285060</v>
      </c>
      <c r="I115" s="255">
        <v>172242</v>
      </c>
      <c r="J115" s="255">
        <v>138376</v>
      </c>
      <c r="K115" s="255">
        <v>196861</v>
      </c>
      <c r="L115" s="255">
        <v>279294</v>
      </c>
      <c r="M115" s="255">
        <v>82843</v>
      </c>
      <c r="N115" s="255">
        <v>187827</v>
      </c>
      <c r="O115" s="255">
        <v>235332</v>
      </c>
      <c r="P115" s="255">
        <v>166642</v>
      </c>
      <c r="Q115" s="255">
        <v>115076</v>
      </c>
      <c r="R115" s="255">
        <v>78664</v>
      </c>
      <c r="S115" s="255">
        <v>84009</v>
      </c>
      <c r="T115" s="255">
        <v>13105</v>
      </c>
      <c r="U115" s="257"/>
      <c r="V115" s="255">
        <v>4784753</v>
      </c>
      <c r="W115" s="255">
        <v>139636</v>
      </c>
      <c r="X115" s="255">
        <v>373036</v>
      </c>
      <c r="Y115" s="255">
        <v>495104</v>
      </c>
      <c r="Z115" s="255">
        <v>438665</v>
      </c>
      <c r="AA115" s="255">
        <v>189682</v>
      </c>
      <c r="AB115" s="255">
        <v>254879</v>
      </c>
      <c r="AC115" s="255">
        <v>402900</v>
      </c>
      <c r="AD115" s="255">
        <v>190984</v>
      </c>
      <c r="AE115" s="255">
        <v>290887</v>
      </c>
      <c r="AF115" s="255">
        <v>425920</v>
      </c>
      <c r="AG115" s="255">
        <v>269382</v>
      </c>
      <c r="AH115" s="255">
        <v>209692</v>
      </c>
      <c r="AI115" s="255">
        <v>379617</v>
      </c>
      <c r="AJ115" s="255">
        <v>381735</v>
      </c>
      <c r="AK115" s="255">
        <v>164384</v>
      </c>
      <c r="AL115" s="255">
        <v>147642</v>
      </c>
      <c r="AM115" s="255">
        <v>29726</v>
      </c>
      <c r="AN115" s="255">
        <v>880</v>
      </c>
    </row>
    <row r="116" spans="1:69" ht="14.25" customHeight="1">
      <c r="A116" s="258">
        <v>42277</v>
      </c>
      <c r="B116" s="255">
        <v>2966753</v>
      </c>
      <c r="C116" s="255">
        <v>111954</v>
      </c>
      <c r="D116" s="255">
        <v>26161</v>
      </c>
      <c r="E116" s="255">
        <v>293677</v>
      </c>
      <c r="F116" s="255">
        <v>264561</v>
      </c>
      <c r="G116" s="255">
        <v>186370</v>
      </c>
      <c r="H116" s="255">
        <v>246959</v>
      </c>
      <c r="I116" s="255">
        <v>184502</v>
      </c>
      <c r="J116" s="255">
        <v>140390</v>
      </c>
      <c r="K116" s="255">
        <v>185969</v>
      </c>
      <c r="L116" s="255">
        <v>266433</v>
      </c>
      <c r="M116" s="255">
        <v>89278</v>
      </c>
      <c r="N116" s="255">
        <v>187727</v>
      </c>
      <c r="O116" s="255">
        <v>213609</v>
      </c>
      <c r="P116" s="255">
        <v>257370</v>
      </c>
      <c r="Q116" s="255">
        <v>113681</v>
      </c>
      <c r="R116" s="255">
        <v>89757</v>
      </c>
      <c r="S116" s="255">
        <v>86925</v>
      </c>
      <c r="T116" s="255">
        <v>21430</v>
      </c>
      <c r="U116" s="257"/>
      <c r="V116" s="255">
        <v>4815208</v>
      </c>
      <c r="W116" s="255">
        <v>134101</v>
      </c>
      <c r="X116" s="255">
        <v>362378</v>
      </c>
      <c r="Y116" s="255">
        <v>578800</v>
      </c>
      <c r="Z116" s="255">
        <v>511422</v>
      </c>
      <c r="AA116" s="255">
        <v>177086</v>
      </c>
      <c r="AB116" s="255">
        <v>240666</v>
      </c>
      <c r="AC116" s="255">
        <v>394140</v>
      </c>
      <c r="AD116" s="255">
        <v>198914</v>
      </c>
      <c r="AE116" s="255">
        <v>279897</v>
      </c>
      <c r="AF116" s="255">
        <v>396339</v>
      </c>
      <c r="AG116" s="255">
        <v>277050</v>
      </c>
      <c r="AH116" s="255">
        <v>211728</v>
      </c>
      <c r="AI116" s="255">
        <v>327471</v>
      </c>
      <c r="AJ116" s="255">
        <v>322867</v>
      </c>
      <c r="AK116" s="255">
        <v>153001</v>
      </c>
      <c r="AL116" s="255">
        <v>211094</v>
      </c>
      <c r="AM116" s="255">
        <v>36468</v>
      </c>
      <c r="AN116" s="255">
        <v>1788</v>
      </c>
    </row>
    <row r="117" spans="1:69" ht="14.25" customHeight="1">
      <c r="A117" s="263">
        <v>42369</v>
      </c>
      <c r="B117" s="255">
        <v>3055156</v>
      </c>
      <c r="C117" s="255">
        <v>167418</v>
      </c>
      <c r="D117" s="255">
        <v>27973</v>
      </c>
      <c r="E117" s="255">
        <v>313438</v>
      </c>
      <c r="F117" s="255">
        <v>322063</v>
      </c>
      <c r="G117" s="255">
        <v>198279</v>
      </c>
      <c r="H117" s="255">
        <v>152169</v>
      </c>
      <c r="I117" s="255">
        <v>186272</v>
      </c>
      <c r="J117" s="255">
        <v>180267</v>
      </c>
      <c r="K117" s="255">
        <v>179721</v>
      </c>
      <c r="L117" s="255">
        <v>263891</v>
      </c>
      <c r="M117" s="255">
        <v>131552</v>
      </c>
      <c r="N117" s="255">
        <v>187073</v>
      </c>
      <c r="O117" s="255">
        <v>224035</v>
      </c>
      <c r="P117" s="255">
        <v>220841</v>
      </c>
      <c r="Q117" s="255">
        <v>116681</v>
      </c>
      <c r="R117" s="255">
        <v>97406</v>
      </c>
      <c r="S117" s="255">
        <v>81673</v>
      </c>
      <c r="T117" s="255">
        <v>4405</v>
      </c>
      <c r="U117" s="257"/>
      <c r="V117" s="255">
        <v>4620947</v>
      </c>
      <c r="W117" s="255">
        <v>129158</v>
      </c>
      <c r="X117" s="255">
        <v>248244</v>
      </c>
      <c r="Y117" s="255">
        <v>510159</v>
      </c>
      <c r="Z117" s="255">
        <v>446332</v>
      </c>
      <c r="AA117" s="255">
        <v>173091</v>
      </c>
      <c r="AB117" s="255">
        <v>203226</v>
      </c>
      <c r="AC117" s="255">
        <v>380971</v>
      </c>
      <c r="AD117" s="255">
        <v>229061</v>
      </c>
      <c r="AE117" s="255">
        <v>267435</v>
      </c>
      <c r="AF117" s="255">
        <v>401717</v>
      </c>
      <c r="AG117" s="255">
        <v>365053</v>
      </c>
      <c r="AH117" s="255">
        <v>221863</v>
      </c>
      <c r="AI117" s="255">
        <v>353198</v>
      </c>
      <c r="AJ117" s="255">
        <v>316934</v>
      </c>
      <c r="AK117" s="255">
        <v>179287</v>
      </c>
      <c r="AL117" s="255">
        <v>169320</v>
      </c>
      <c r="AM117" s="255">
        <v>24383</v>
      </c>
      <c r="AN117" s="255">
        <v>1514</v>
      </c>
    </row>
    <row r="118" spans="1:69" ht="14.25" customHeight="1">
      <c r="A118" s="263">
        <v>42460</v>
      </c>
      <c r="B118" s="264">
        <v>2691846</v>
      </c>
      <c r="C118" s="264">
        <v>129393</v>
      </c>
      <c r="D118" s="264">
        <v>21225</v>
      </c>
      <c r="E118" s="264">
        <v>278278</v>
      </c>
      <c r="F118" s="264">
        <v>282349</v>
      </c>
      <c r="G118" s="264">
        <v>200094</v>
      </c>
      <c r="H118" s="264">
        <v>79423</v>
      </c>
      <c r="I118" s="264">
        <v>154811</v>
      </c>
      <c r="J118" s="264">
        <v>189006</v>
      </c>
      <c r="K118" s="264">
        <v>180014</v>
      </c>
      <c r="L118" s="264">
        <v>268273</v>
      </c>
      <c r="M118" s="264">
        <v>100373</v>
      </c>
      <c r="N118" s="264">
        <v>194661</v>
      </c>
      <c r="O118" s="264">
        <v>199483</v>
      </c>
      <c r="P118" s="264">
        <v>140920</v>
      </c>
      <c r="Q118" s="264">
        <v>110198</v>
      </c>
      <c r="R118" s="264">
        <v>94418</v>
      </c>
      <c r="S118" s="264">
        <v>60464</v>
      </c>
      <c r="T118" s="264">
        <v>8462</v>
      </c>
      <c r="U118" s="265"/>
      <c r="V118" s="264">
        <v>4465471</v>
      </c>
      <c r="W118" s="264">
        <v>143604</v>
      </c>
      <c r="X118" s="264">
        <v>135774</v>
      </c>
      <c r="Y118" s="264">
        <v>446515</v>
      </c>
      <c r="Z118" s="264">
        <v>519039</v>
      </c>
      <c r="AA118" s="264">
        <v>174344</v>
      </c>
      <c r="AB118" s="264">
        <v>183352</v>
      </c>
      <c r="AC118" s="264">
        <v>402250</v>
      </c>
      <c r="AD118" s="264">
        <v>234133</v>
      </c>
      <c r="AE118" s="264">
        <v>278933</v>
      </c>
      <c r="AF118" s="264">
        <v>426805</v>
      </c>
      <c r="AG118" s="264">
        <v>284663</v>
      </c>
      <c r="AH118" s="264">
        <v>195866</v>
      </c>
      <c r="AI118" s="264">
        <v>341555</v>
      </c>
      <c r="AJ118" s="264">
        <v>372196</v>
      </c>
      <c r="AK118" s="264">
        <v>172497</v>
      </c>
      <c r="AL118" s="264">
        <v>130039</v>
      </c>
      <c r="AM118" s="264">
        <v>23241</v>
      </c>
      <c r="AN118" s="264">
        <v>663</v>
      </c>
    </row>
    <row r="119" spans="1:69" ht="14.25" customHeight="1">
      <c r="A119" s="263">
        <v>42551</v>
      </c>
      <c r="B119" s="264">
        <v>3071972</v>
      </c>
      <c r="C119" s="264">
        <v>110229</v>
      </c>
      <c r="D119" s="264">
        <v>23685</v>
      </c>
      <c r="E119" s="264">
        <v>316017</v>
      </c>
      <c r="F119" s="264">
        <v>309079</v>
      </c>
      <c r="G119" s="264">
        <v>216299</v>
      </c>
      <c r="H119" s="264">
        <v>168607</v>
      </c>
      <c r="I119" s="264">
        <v>162390</v>
      </c>
      <c r="J119" s="264">
        <v>199937</v>
      </c>
      <c r="K119" s="264">
        <v>212641</v>
      </c>
      <c r="L119" s="264">
        <v>338284</v>
      </c>
      <c r="M119" s="264">
        <v>103912</v>
      </c>
      <c r="N119" s="264">
        <v>219523</v>
      </c>
      <c r="O119" s="264">
        <v>233733</v>
      </c>
      <c r="P119" s="264">
        <v>180428</v>
      </c>
      <c r="Q119" s="264">
        <v>121313</v>
      </c>
      <c r="R119" s="264">
        <v>78631</v>
      </c>
      <c r="S119" s="264">
        <v>71803</v>
      </c>
      <c r="T119" s="264">
        <v>5462</v>
      </c>
      <c r="U119" s="265"/>
      <c r="V119" s="264">
        <v>5119221</v>
      </c>
      <c r="W119" s="264">
        <v>140348</v>
      </c>
      <c r="X119" s="264">
        <v>308092</v>
      </c>
      <c r="Y119" s="264">
        <v>535384</v>
      </c>
      <c r="Z119" s="264">
        <v>457121</v>
      </c>
      <c r="AA119" s="264">
        <v>196680</v>
      </c>
      <c r="AB119" s="264">
        <v>168866</v>
      </c>
      <c r="AC119" s="264">
        <v>391673</v>
      </c>
      <c r="AD119" s="264">
        <v>248847</v>
      </c>
      <c r="AE119" s="264">
        <v>317303</v>
      </c>
      <c r="AF119" s="264">
        <v>487174</v>
      </c>
      <c r="AG119" s="264">
        <v>294292</v>
      </c>
      <c r="AH119" s="264">
        <v>235589</v>
      </c>
      <c r="AI119" s="264">
        <v>464706</v>
      </c>
      <c r="AJ119" s="264">
        <v>522342</v>
      </c>
      <c r="AK119" s="264">
        <v>185090</v>
      </c>
      <c r="AL119" s="264">
        <v>134752</v>
      </c>
      <c r="AM119" s="264">
        <v>30356</v>
      </c>
      <c r="AN119" s="264">
        <v>607</v>
      </c>
    </row>
    <row r="120" spans="1:69" ht="14.25" customHeight="1">
      <c r="A120" s="263">
        <v>42643</v>
      </c>
      <c r="B120" s="264">
        <v>3064912</v>
      </c>
      <c r="C120" s="264">
        <v>141166</v>
      </c>
      <c r="D120" s="264">
        <v>21963</v>
      </c>
      <c r="E120" s="264">
        <v>336261</v>
      </c>
      <c r="F120" s="264">
        <v>271307</v>
      </c>
      <c r="G120" s="264">
        <v>185891</v>
      </c>
      <c r="H120" s="264">
        <v>217510</v>
      </c>
      <c r="I120" s="264">
        <v>156871</v>
      </c>
      <c r="J120" s="264">
        <v>186091</v>
      </c>
      <c r="K120" s="264">
        <v>202025</v>
      </c>
      <c r="L120" s="264">
        <v>299792</v>
      </c>
      <c r="M120" s="264">
        <v>98366</v>
      </c>
      <c r="N120" s="264">
        <v>226602</v>
      </c>
      <c r="O120" s="264">
        <v>224231</v>
      </c>
      <c r="P120" s="264">
        <v>211826</v>
      </c>
      <c r="Q120" s="264">
        <v>116098</v>
      </c>
      <c r="R120" s="264">
        <v>89808</v>
      </c>
      <c r="S120" s="264">
        <v>68757</v>
      </c>
      <c r="T120" s="264">
        <v>10346</v>
      </c>
      <c r="U120" s="265"/>
      <c r="V120" s="264">
        <v>4976195</v>
      </c>
      <c r="W120" s="264">
        <v>133195</v>
      </c>
      <c r="X120" s="264">
        <v>315441</v>
      </c>
      <c r="Y120" s="264">
        <v>602326</v>
      </c>
      <c r="Z120" s="264">
        <v>523741</v>
      </c>
      <c r="AA120" s="264">
        <v>172697</v>
      </c>
      <c r="AB120" s="264">
        <v>207169</v>
      </c>
      <c r="AC120" s="264">
        <v>361843</v>
      </c>
      <c r="AD120" s="264">
        <v>293543</v>
      </c>
      <c r="AE120" s="264">
        <v>296948</v>
      </c>
      <c r="AF120" s="264">
        <v>433500</v>
      </c>
      <c r="AG120" s="264">
        <v>275464</v>
      </c>
      <c r="AH120" s="264">
        <v>237531</v>
      </c>
      <c r="AI120" s="264">
        <v>403878</v>
      </c>
      <c r="AJ120" s="264">
        <v>337725</v>
      </c>
      <c r="AK120" s="264">
        <v>180188</v>
      </c>
      <c r="AL120" s="264">
        <v>164839</v>
      </c>
      <c r="AM120" s="264">
        <v>33147</v>
      </c>
      <c r="AN120" s="264">
        <v>3020</v>
      </c>
    </row>
    <row r="121" spans="1:69" ht="14.25" customHeight="1">
      <c r="A121" s="263">
        <v>42735</v>
      </c>
      <c r="B121" s="264">
        <v>3487839</v>
      </c>
      <c r="C121" s="264">
        <v>210967</v>
      </c>
      <c r="D121" s="264">
        <v>25533</v>
      </c>
      <c r="E121" s="264">
        <v>337986</v>
      </c>
      <c r="F121" s="264">
        <v>330386</v>
      </c>
      <c r="G121" s="264">
        <v>197359</v>
      </c>
      <c r="H121" s="264">
        <v>256782</v>
      </c>
      <c r="I121" s="264">
        <v>169050</v>
      </c>
      <c r="J121" s="264">
        <v>322488</v>
      </c>
      <c r="K121" s="264">
        <v>189008</v>
      </c>
      <c r="L121" s="264">
        <v>308798</v>
      </c>
      <c r="M121" s="264">
        <v>136373</v>
      </c>
      <c r="N121" s="264">
        <v>225099</v>
      </c>
      <c r="O121" s="264">
        <v>238731</v>
      </c>
      <c r="P121" s="264">
        <v>213865</v>
      </c>
      <c r="Q121" s="264">
        <v>130043</v>
      </c>
      <c r="R121" s="264">
        <v>108659</v>
      </c>
      <c r="S121" s="264">
        <v>83906</v>
      </c>
      <c r="T121" s="264">
        <v>2807</v>
      </c>
      <c r="U121" s="265"/>
      <c r="V121" s="264">
        <v>5150979</v>
      </c>
      <c r="W121" s="264">
        <v>133027</v>
      </c>
      <c r="X121" s="264">
        <v>356372</v>
      </c>
      <c r="Y121" s="264">
        <v>512759</v>
      </c>
      <c r="Z121" s="264">
        <v>458963</v>
      </c>
      <c r="AA121" s="264">
        <v>173884</v>
      </c>
      <c r="AB121" s="264">
        <v>189068</v>
      </c>
      <c r="AC121" s="264">
        <v>364423</v>
      </c>
      <c r="AD121" s="264">
        <v>468931</v>
      </c>
      <c r="AE121" s="264">
        <v>274425</v>
      </c>
      <c r="AF121" s="264">
        <v>432430</v>
      </c>
      <c r="AG121" s="264">
        <v>352060</v>
      </c>
      <c r="AH121" s="264">
        <v>240747</v>
      </c>
      <c r="AI121" s="264">
        <v>414093</v>
      </c>
      <c r="AJ121" s="264">
        <v>378113</v>
      </c>
      <c r="AK121" s="264">
        <v>192348</v>
      </c>
      <c r="AL121" s="264">
        <v>175685</v>
      </c>
      <c r="AM121" s="264">
        <v>33099</v>
      </c>
      <c r="AN121" s="264">
        <v>553</v>
      </c>
    </row>
    <row r="122" spans="1:69" ht="14.25" customHeight="1">
      <c r="A122" s="266">
        <v>42825</v>
      </c>
      <c r="B122" s="264">
        <v>3384986</v>
      </c>
      <c r="C122" s="264">
        <v>167501</v>
      </c>
      <c r="D122" s="264">
        <v>21172</v>
      </c>
      <c r="E122" s="264">
        <v>280406</v>
      </c>
      <c r="F122" s="264">
        <v>315024</v>
      </c>
      <c r="G122" s="264">
        <v>215092</v>
      </c>
      <c r="H122" s="264">
        <v>179985</v>
      </c>
      <c r="I122" s="264">
        <v>182735</v>
      </c>
      <c r="J122" s="264">
        <v>323022</v>
      </c>
      <c r="K122" s="264">
        <v>196958</v>
      </c>
      <c r="L122" s="264">
        <v>312008</v>
      </c>
      <c r="M122" s="264">
        <v>104904</v>
      </c>
      <c r="N122" s="264">
        <v>217796</v>
      </c>
      <c r="O122" s="264">
        <v>228713</v>
      </c>
      <c r="P122" s="264">
        <v>254341</v>
      </c>
      <c r="Q122" s="264">
        <v>131651</v>
      </c>
      <c r="R122" s="264">
        <v>167325</v>
      </c>
      <c r="S122" s="264">
        <v>84516</v>
      </c>
      <c r="T122" s="264">
        <v>1837</v>
      </c>
      <c r="U122" s="267"/>
      <c r="V122" s="264">
        <v>5233801</v>
      </c>
      <c r="W122" s="264">
        <v>165552</v>
      </c>
      <c r="X122" s="264">
        <v>311236</v>
      </c>
      <c r="Y122" s="264">
        <v>462912</v>
      </c>
      <c r="Z122" s="264">
        <v>557083</v>
      </c>
      <c r="AA122" s="264">
        <v>181210</v>
      </c>
      <c r="AB122" s="264">
        <v>230661</v>
      </c>
      <c r="AC122" s="264">
        <v>419873</v>
      </c>
      <c r="AD122" s="264">
        <v>258705</v>
      </c>
      <c r="AE122" s="264">
        <v>313925</v>
      </c>
      <c r="AF122" s="264">
        <v>467743</v>
      </c>
      <c r="AG122" s="264">
        <v>317846</v>
      </c>
      <c r="AH122" s="264">
        <v>232313</v>
      </c>
      <c r="AI122" s="264">
        <v>414243</v>
      </c>
      <c r="AJ122" s="264">
        <v>459278</v>
      </c>
      <c r="AK122" s="264">
        <v>204481</v>
      </c>
      <c r="AL122" s="264">
        <v>209141</v>
      </c>
      <c r="AM122" s="264">
        <v>27161</v>
      </c>
      <c r="AN122" s="264">
        <v>438</v>
      </c>
    </row>
    <row r="123" spans="1:69" ht="14.25" customHeight="1">
      <c r="A123" s="266">
        <v>42916</v>
      </c>
      <c r="B123" s="264">
        <v>3353616</v>
      </c>
      <c r="C123" s="264">
        <v>122958</v>
      </c>
      <c r="D123" s="264">
        <v>23875</v>
      </c>
      <c r="E123" s="264">
        <v>338832</v>
      </c>
      <c r="F123" s="264">
        <v>336436</v>
      </c>
      <c r="G123" s="264">
        <v>229304</v>
      </c>
      <c r="H123" s="264">
        <v>257650</v>
      </c>
      <c r="I123" s="264">
        <v>173743</v>
      </c>
      <c r="J123" s="264">
        <v>219882</v>
      </c>
      <c r="K123" s="264">
        <v>223261</v>
      </c>
      <c r="L123" s="264">
        <v>333866</v>
      </c>
      <c r="M123" s="264">
        <v>108239</v>
      </c>
      <c r="N123" s="264">
        <v>235045</v>
      </c>
      <c r="O123" s="264">
        <v>250444</v>
      </c>
      <c r="P123" s="264">
        <v>218544</v>
      </c>
      <c r="Q123" s="264">
        <v>131647</v>
      </c>
      <c r="R123" s="264">
        <v>62730</v>
      </c>
      <c r="S123" s="264">
        <v>79812</v>
      </c>
      <c r="T123" s="264">
        <v>7348</v>
      </c>
      <c r="U123" s="268"/>
      <c r="V123" s="264">
        <v>5672520</v>
      </c>
      <c r="W123" s="264">
        <v>164085</v>
      </c>
      <c r="X123" s="264">
        <v>373829</v>
      </c>
      <c r="Y123" s="264">
        <v>609140</v>
      </c>
      <c r="Z123" s="264">
        <v>501021</v>
      </c>
      <c r="AA123" s="264">
        <v>206498</v>
      </c>
      <c r="AB123" s="264">
        <v>217587</v>
      </c>
      <c r="AC123" s="264">
        <v>408812</v>
      </c>
      <c r="AD123" s="264">
        <v>267839</v>
      </c>
      <c r="AE123" s="264">
        <v>336325</v>
      </c>
      <c r="AF123" s="264">
        <v>524755</v>
      </c>
      <c r="AG123" s="264">
        <v>304868</v>
      </c>
      <c r="AH123" s="264">
        <v>259849</v>
      </c>
      <c r="AI123" s="264">
        <v>509723</v>
      </c>
      <c r="AJ123" s="264">
        <v>587965</v>
      </c>
      <c r="AK123" s="264">
        <v>233698</v>
      </c>
      <c r="AL123" s="264">
        <v>133378</v>
      </c>
      <c r="AM123" s="264">
        <v>32371</v>
      </c>
      <c r="AN123" s="264">
        <v>776</v>
      </c>
    </row>
    <row r="124" spans="1:69" ht="14.25" customHeight="1">
      <c r="A124" s="266">
        <v>43008</v>
      </c>
      <c r="B124" s="264">
        <v>3466046</v>
      </c>
      <c r="C124" s="264">
        <v>173911</v>
      </c>
      <c r="D124" s="264">
        <v>22058</v>
      </c>
      <c r="E124" s="264">
        <v>356147</v>
      </c>
      <c r="F124" s="264">
        <v>287681</v>
      </c>
      <c r="G124" s="264">
        <v>208271</v>
      </c>
      <c r="H124" s="264">
        <v>247222</v>
      </c>
      <c r="I124" s="264">
        <v>184656</v>
      </c>
      <c r="J124" s="264">
        <v>286457</v>
      </c>
      <c r="K124" s="264">
        <v>220432</v>
      </c>
      <c r="L124" s="264">
        <v>365499</v>
      </c>
      <c r="M124" s="264">
        <v>115749</v>
      </c>
      <c r="N124" s="264">
        <v>252425</v>
      </c>
      <c r="O124" s="264">
        <v>247868</v>
      </c>
      <c r="P124" s="264">
        <v>178442</v>
      </c>
      <c r="Q124" s="264">
        <v>132585</v>
      </c>
      <c r="R124" s="264">
        <v>83265</v>
      </c>
      <c r="S124" s="264">
        <v>90490</v>
      </c>
      <c r="T124" s="264">
        <v>12890</v>
      </c>
      <c r="U124" s="269"/>
      <c r="V124" s="264">
        <v>5593945</v>
      </c>
      <c r="W124" s="264">
        <v>150630</v>
      </c>
      <c r="X124" s="264">
        <v>343986</v>
      </c>
      <c r="Y124" s="264">
        <v>691707</v>
      </c>
      <c r="Z124" s="264">
        <v>532364</v>
      </c>
      <c r="AA124" s="264">
        <v>197592</v>
      </c>
      <c r="AB124" s="264">
        <v>258708</v>
      </c>
      <c r="AC124" s="264">
        <v>416686</v>
      </c>
      <c r="AD124" s="264">
        <v>318386</v>
      </c>
      <c r="AE124" s="264">
        <v>320933</v>
      </c>
      <c r="AF124" s="264">
        <v>521773</v>
      </c>
      <c r="AG124" s="264">
        <v>314258</v>
      </c>
      <c r="AH124" s="264">
        <v>258681</v>
      </c>
      <c r="AI124" s="264">
        <v>450849</v>
      </c>
      <c r="AJ124" s="264">
        <v>365664</v>
      </c>
      <c r="AK124" s="264">
        <v>245706</v>
      </c>
      <c r="AL124" s="264">
        <v>161684</v>
      </c>
      <c r="AM124" s="264">
        <v>43175</v>
      </c>
      <c r="AN124" s="264">
        <v>1166</v>
      </c>
    </row>
    <row r="125" spans="1:69" ht="14.25" customHeight="1">
      <c r="A125" s="266">
        <v>43100</v>
      </c>
      <c r="B125" s="264">
        <v>3812297</v>
      </c>
      <c r="C125" s="264">
        <v>199818</v>
      </c>
      <c r="D125" s="264">
        <v>22515</v>
      </c>
      <c r="E125" s="264">
        <v>348068</v>
      </c>
      <c r="F125" s="264">
        <v>349884</v>
      </c>
      <c r="G125" s="264">
        <v>235802</v>
      </c>
      <c r="H125" s="264">
        <v>335413</v>
      </c>
      <c r="I125" s="264">
        <v>187343</v>
      </c>
      <c r="J125" s="264">
        <v>320705</v>
      </c>
      <c r="K125" s="264">
        <v>208640</v>
      </c>
      <c r="L125" s="264">
        <v>338733</v>
      </c>
      <c r="M125" s="264">
        <v>133583</v>
      </c>
      <c r="N125" s="264">
        <v>250689</v>
      </c>
      <c r="O125" s="264">
        <v>253841</v>
      </c>
      <c r="P125" s="264">
        <v>279114</v>
      </c>
      <c r="Q125" s="264">
        <v>150434</v>
      </c>
      <c r="R125" s="264">
        <v>102843</v>
      </c>
      <c r="S125" s="264">
        <v>91176</v>
      </c>
      <c r="T125" s="264">
        <v>3695</v>
      </c>
      <c r="U125" s="269"/>
      <c r="V125" s="264">
        <v>5391383</v>
      </c>
      <c r="W125" s="264">
        <v>150873</v>
      </c>
      <c r="X125" s="264">
        <v>372589</v>
      </c>
      <c r="Y125" s="264">
        <v>550162</v>
      </c>
      <c r="Z125" s="264">
        <v>487276</v>
      </c>
      <c r="AA125" s="264">
        <v>205578</v>
      </c>
      <c r="AB125" s="264">
        <v>193438</v>
      </c>
      <c r="AC125" s="264">
        <v>410545</v>
      </c>
      <c r="AD125" s="264">
        <v>277076</v>
      </c>
      <c r="AE125" s="264">
        <v>316515</v>
      </c>
      <c r="AF125" s="264">
        <v>521870</v>
      </c>
      <c r="AG125" s="264">
        <v>383076</v>
      </c>
      <c r="AH125" s="264">
        <v>270539</v>
      </c>
      <c r="AI125" s="264">
        <v>412848</v>
      </c>
      <c r="AJ125" s="264">
        <v>411628</v>
      </c>
      <c r="AK125" s="264">
        <v>256055</v>
      </c>
      <c r="AL125" s="264">
        <v>130297</v>
      </c>
      <c r="AM125" s="264">
        <v>40288</v>
      </c>
      <c r="AN125" s="264">
        <v>726</v>
      </c>
    </row>
    <row r="126" spans="1:69" ht="14.25" customHeight="1">
      <c r="A126" s="266">
        <v>43190</v>
      </c>
      <c r="B126" s="270">
        <v>3301080</v>
      </c>
      <c r="C126" s="270">
        <v>126466</v>
      </c>
      <c r="D126" s="270">
        <v>20390</v>
      </c>
      <c r="E126" s="270">
        <v>309691</v>
      </c>
      <c r="F126" s="270">
        <v>319295</v>
      </c>
      <c r="G126" s="270">
        <v>245116</v>
      </c>
      <c r="H126" s="270">
        <v>179933</v>
      </c>
      <c r="I126" s="270">
        <v>192782</v>
      </c>
      <c r="J126" s="270">
        <v>230185</v>
      </c>
      <c r="K126" s="270">
        <v>210042</v>
      </c>
      <c r="L126" s="270">
        <v>324090</v>
      </c>
      <c r="M126" s="270">
        <v>107025</v>
      </c>
      <c r="N126" s="270">
        <v>224055</v>
      </c>
      <c r="O126" s="270">
        <v>237806</v>
      </c>
      <c r="P126" s="270">
        <v>252109</v>
      </c>
      <c r="Q126" s="270">
        <v>137254</v>
      </c>
      <c r="R126" s="270">
        <v>92882</v>
      </c>
      <c r="S126" s="270">
        <v>89910</v>
      </c>
      <c r="T126" s="270">
        <v>2050</v>
      </c>
      <c r="U126" s="271"/>
      <c r="V126" s="270">
        <v>5670307</v>
      </c>
      <c r="W126" s="270">
        <v>174066</v>
      </c>
      <c r="X126" s="270">
        <v>303855</v>
      </c>
      <c r="Y126" s="270">
        <v>509101</v>
      </c>
      <c r="Z126" s="270">
        <v>564820</v>
      </c>
      <c r="AA126" s="270">
        <v>210458</v>
      </c>
      <c r="AB126" s="270">
        <v>286484</v>
      </c>
      <c r="AC126" s="270">
        <v>465491</v>
      </c>
      <c r="AD126" s="270">
        <v>298241</v>
      </c>
      <c r="AE126" s="270">
        <v>338396</v>
      </c>
      <c r="AF126" s="270">
        <v>535142</v>
      </c>
      <c r="AG126" s="270">
        <v>329615</v>
      </c>
      <c r="AH126" s="270">
        <v>271412</v>
      </c>
      <c r="AI126" s="270">
        <v>409354</v>
      </c>
      <c r="AJ126" s="270">
        <v>553294</v>
      </c>
      <c r="AK126" s="270">
        <v>268289</v>
      </c>
      <c r="AL126" s="270">
        <v>114738</v>
      </c>
      <c r="AM126" s="270">
        <v>37102</v>
      </c>
      <c r="AN126" s="270">
        <v>450</v>
      </c>
    </row>
    <row r="127" spans="1:69" ht="14.25" customHeight="1">
      <c r="A127" s="266">
        <v>43281</v>
      </c>
      <c r="B127" s="270">
        <v>3667804</v>
      </c>
      <c r="C127" s="270">
        <v>134767</v>
      </c>
      <c r="D127" s="270">
        <v>30703</v>
      </c>
      <c r="E127" s="270">
        <v>367955</v>
      </c>
      <c r="F127" s="270">
        <v>329953</v>
      </c>
      <c r="G127" s="270">
        <v>253945</v>
      </c>
      <c r="H127" s="270">
        <v>362797</v>
      </c>
      <c r="I127" s="270">
        <v>197269</v>
      </c>
      <c r="J127" s="270">
        <v>248937</v>
      </c>
      <c r="K127" s="270">
        <v>243466</v>
      </c>
      <c r="L127" s="270">
        <v>379118</v>
      </c>
      <c r="M127" s="270">
        <v>112583</v>
      </c>
      <c r="N127" s="270">
        <v>233601</v>
      </c>
      <c r="O127" s="270">
        <v>263985</v>
      </c>
      <c r="P127" s="270">
        <v>221699</v>
      </c>
      <c r="Q127" s="270">
        <v>136943</v>
      </c>
      <c r="R127" s="270">
        <v>53775</v>
      </c>
      <c r="S127" s="270">
        <v>85505</v>
      </c>
      <c r="T127" s="270">
        <v>10802</v>
      </c>
      <c r="U127" s="272"/>
      <c r="V127" s="270">
        <v>6035366</v>
      </c>
      <c r="W127" s="270">
        <v>175153</v>
      </c>
      <c r="X127" s="270">
        <v>384352</v>
      </c>
      <c r="Y127" s="270">
        <v>632233</v>
      </c>
      <c r="Z127" s="270">
        <v>527288</v>
      </c>
      <c r="AA127" s="270">
        <v>227246</v>
      </c>
      <c r="AB127" s="270">
        <v>213198</v>
      </c>
      <c r="AC127" s="270">
        <v>466064</v>
      </c>
      <c r="AD127" s="270">
        <v>297064</v>
      </c>
      <c r="AE127" s="270">
        <v>372167</v>
      </c>
      <c r="AF127" s="270">
        <v>537926</v>
      </c>
      <c r="AG127" s="270">
        <v>330615</v>
      </c>
      <c r="AH127" s="270">
        <v>290403</v>
      </c>
      <c r="AI127" s="270">
        <v>484046</v>
      </c>
      <c r="AJ127" s="270">
        <v>668589</v>
      </c>
      <c r="AK127" s="270">
        <v>266744</v>
      </c>
      <c r="AL127" s="270">
        <v>122668</v>
      </c>
      <c r="AM127" s="270">
        <v>38826</v>
      </c>
      <c r="AN127" s="270">
        <v>783</v>
      </c>
    </row>
    <row r="128" spans="1:69" ht="14.25" customHeight="1">
      <c r="A128" s="266">
        <v>43373</v>
      </c>
      <c r="B128" s="264">
        <v>3708656</v>
      </c>
      <c r="C128" s="264">
        <v>193952</v>
      </c>
      <c r="D128" s="264">
        <v>22530</v>
      </c>
      <c r="E128" s="264">
        <v>369820</v>
      </c>
      <c r="F128" s="264">
        <v>294810</v>
      </c>
      <c r="G128" s="264">
        <v>235927</v>
      </c>
      <c r="H128" s="264">
        <v>331956</v>
      </c>
      <c r="I128" s="264">
        <v>188244</v>
      </c>
      <c r="J128" s="264">
        <v>194659</v>
      </c>
      <c r="K128" s="264">
        <v>241878</v>
      </c>
      <c r="L128" s="264">
        <v>363057</v>
      </c>
      <c r="M128" s="264">
        <v>120667</v>
      </c>
      <c r="N128" s="264">
        <v>250554</v>
      </c>
      <c r="O128" s="264">
        <v>253723</v>
      </c>
      <c r="P128" s="264">
        <v>335102</v>
      </c>
      <c r="Q128" s="264">
        <v>132290</v>
      </c>
      <c r="R128" s="264">
        <v>49801</v>
      </c>
      <c r="S128" s="264">
        <v>92537</v>
      </c>
      <c r="T128" s="264">
        <v>37148</v>
      </c>
      <c r="U128" s="269"/>
      <c r="V128" s="264">
        <v>5962398</v>
      </c>
      <c r="W128" s="264">
        <v>159509</v>
      </c>
      <c r="X128" s="264">
        <v>525311</v>
      </c>
      <c r="Y128" s="264">
        <v>676805</v>
      </c>
      <c r="Z128" s="264">
        <v>535840</v>
      </c>
      <c r="AA128" s="264">
        <v>214425</v>
      </c>
      <c r="AB128" s="264">
        <v>239200</v>
      </c>
      <c r="AC128" s="264">
        <v>472740</v>
      </c>
      <c r="AD128" s="264">
        <v>287245</v>
      </c>
      <c r="AE128" s="264">
        <v>356364</v>
      </c>
      <c r="AF128" s="264">
        <v>529557</v>
      </c>
      <c r="AG128" s="264">
        <v>322047</v>
      </c>
      <c r="AH128" s="264">
        <v>304894</v>
      </c>
      <c r="AI128" s="264">
        <v>442824</v>
      </c>
      <c r="AJ128" s="264">
        <v>456330</v>
      </c>
      <c r="AK128" s="264">
        <v>224445</v>
      </c>
      <c r="AL128" s="264">
        <v>167767</v>
      </c>
      <c r="AM128" s="264">
        <v>45752</v>
      </c>
      <c r="AN128" s="264">
        <v>1342</v>
      </c>
    </row>
    <row r="129" spans="1:40" ht="14.25" customHeight="1">
      <c r="A129" s="266">
        <v>43465</v>
      </c>
      <c r="B129" s="264">
        <v>3865887</v>
      </c>
      <c r="C129" s="264">
        <v>241336</v>
      </c>
      <c r="D129" s="264">
        <v>22303</v>
      </c>
      <c r="E129" s="264">
        <v>382488</v>
      </c>
      <c r="F129" s="264">
        <v>364163</v>
      </c>
      <c r="G129" s="264">
        <v>236666</v>
      </c>
      <c r="H129" s="264">
        <v>333884</v>
      </c>
      <c r="I129" s="264">
        <v>217255</v>
      </c>
      <c r="J129" s="264">
        <v>258017</v>
      </c>
      <c r="K129" s="264">
        <v>241643</v>
      </c>
      <c r="L129" s="264">
        <v>393186</v>
      </c>
      <c r="M129" s="264">
        <v>136111</v>
      </c>
      <c r="N129" s="264">
        <v>248210</v>
      </c>
      <c r="O129" s="264">
        <v>264764</v>
      </c>
      <c r="P129" s="264">
        <v>243416</v>
      </c>
      <c r="Q129" s="264">
        <v>109078</v>
      </c>
      <c r="R129" s="264">
        <v>63575</v>
      </c>
      <c r="S129" s="264">
        <v>101630</v>
      </c>
      <c r="T129" s="264">
        <v>8164</v>
      </c>
      <c r="U129" s="269"/>
      <c r="V129" s="264">
        <v>6079486</v>
      </c>
      <c r="W129" s="264">
        <v>166099</v>
      </c>
      <c r="X129" s="264">
        <v>496345</v>
      </c>
      <c r="Y129" s="264">
        <v>578428</v>
      </c>
      <c r="Z129" s="264">
        <v>509852</v>
      </c>
      <c r="AA129" s="264">
        <v>211257</v>
      </c>
      <c r="AB129" s="264">
        <v>222171</v>
      </c>
      <c r="AC129" s="264">
        <v>475074</v>
      </c>
      <c r="AD129" s="264">
        <v>319357</v>
      </c>
      <c r="AE129" s="264">
        <v>352662</v>
      </c>
      <c r="AF129" s="264">
        <v>558002</v>
      </c>
      <c r="AG129" s="264">
        <v>416775</v>
      </c>
      <c r="AH129" s="264">
        <v>351659</v>
      </c>
      <c r="AI129" s="264">
        <v>502633</v>
      </c>
      <c r="AJ129" s="264">
        <v>500311</v>
      </c>
      <c r="AK129" s="264">
        <v>222504</v>
      </c>
      <c r="AL129" s="264">
        <v>147203</v>
      </c>
      <c r="AM129" s="264">
        <v>48612</v>
      </c>
      <c r="AN129" s="264">
        <v>543</v>
      </c>
    </row>
    <row r="130" spans="1:40" ht="14.25" customHeight="1">
      <c r="A130" s="266">
        <v>43555</v>
      </c>
      <c r="B130" s="264">
        <v>3617376</v>
      </c>
      <c r="C130" s="264">
        <v>187563</v>
      </c>
      <c r="D130" s="264">
        <v>14120</v>
      </c>
      <c r="E130" s="264">
        <v>349665</v>
      </c>
      <c r="F130" s="264">
        <v>324320</v>
      </c>
      <c r="G130" s="264">
        <v>259110</v>
      </c>
      <c r="H130" s="264">
        <v>203145</v>
      </c>
      <c r="I130" s="264">
        <v>208063</v>
      </c>
      <c r="J130" s="264">
        <v>260999</v>
      </c>
      <c r="K130" s="264">
        <v>238382</v>
      </c>
      <c r="L130" s="264">
        <v>395793</v>
      </c>
      <c r="M130" s="264">
        <v>109436</v>
      </c>
      <c r="N130" s="264">
        <v>252147</v>
      </c>
      <c r="O130" s="264">
        <v>247803</v>
      </c>
      <c r="P130" s="264">
        <v>289002</v>
      </c>
      <c r="Q130" s="264">
        <v>101683</v>
      </c>
      <c r="R130" s="264">
        <v>93314</v>
      </c>
      <c r="S130" s="264">
        <v>78944</v>
      </c>
      <c r="T130" s="264">
        <v>3887</v>
      </c>
      <c r="U130" s="273"/>
      <c r="V130" s="264">
        <v>6047762</v>
      </c>
      <c r="W130" s="264">
        <v>194566</v>
      </c>
      <c r="X130" s="264">
        <v>124579</v>
      </c>
      <c r="Y130" s="264">
        <v>584418</v>
      </c>
      <c r="Z130" s="264">
        <v>550687</v>
      </c>
      <c r="AA130" s="264">
        <v>219200</v>
      </c>
      <c r="AB130" s="264">
        <v>362905</v>
      </c>
      <c r="AC130" s="264">
        <v>498401</v>
      </c>
      <c r="AD130" s="264">
        <v>377246</v>
      </c>
      <c r="AE130" s="264">
        <v>371208</v>
      </c>
      <c r="AF130" s="264">
        <v>636727</v>
      </c>
      <c r="AG130" s="264">
        <v>354922</v>
      </c>
      <c r="AH130" s="264">
        <v>289999</v>
      </c>
      <c r="AI130" s="264">
        <v>485474</v>
      </c>
      <c r="AJ130" s="264">
        <v>578374</v>
      </c>
      <c r="AK130" s="264">
        <v>222299</v>
      </c>
      <c r="AL130" s="264">
        <v>163419</v>
      </c>
      <c r="AM130" s="264">
        <v>32967</v>
      </c>
      <c r="AN130" s="264">
        <v>371</v>
      </c>
    </row>
    <row r="131" spans="1:40" ht="14.25" customHeight="1">
      <c r="A131" s="266">
        <v>43646</v>
      </c>
      <c r="B131" s="264">
        <v>3752899</v>
      </c>
      <c r="C131" s="264">
        <v>126964</v>
      </c>
      <c r="D131" s="264">
        <v>20706</v>
      </c>
      <c r="E131" s="264">
        <v>393291</v>
      </c>
      <c r="F131" s="264">
        <v>331191</v>
      </c>
      <c r="G131" s="264">
        <v>265850</v>
      </c>
      <c r="H131" s="264">
        <v>262599</v>
      </c>
      <c r="I131" s="264">
        <v>206534</v>
      </c>
      <c r="J131" s="264">
        <v>259255</v>
      </c>
      <c r="K131" s="264">
        <v>259905</v>
      </c>
      <c r="L131" s="264">
        <v>389106</v>
      </c>
      <c r="M131" s="264">
        <v>121376</v>
      </c>
      <c r="N131" s="264">
        <v>275974</v>
      </c>
      <c r="O131" s="264">
        <v>275210</v>
      </c>
      <c r="P131" s="264">
        <v>306704</v>
      </c>
      <c r="Q131" s="264">
        <v>102753</v>
      </c>
      <c r="R131" s="264">
        <v>53072</v>
      </c>
      <c r="S131" s="264">
        <v>85366</v>
      </c>
      <c r="T131" s="264">
        <v>17045</v>
      </c>
      <c r="U131" s="275"/>
      <c r="V131" s="264">
        <v>6545933</v>
      </c>
      <c r="W131" s="264">
        <v>180178</v>
      </c>
      <c r="X131" s="264">
        <v>323124</v>
      </c>
      <c r="Y131" s="264">
        <v>723269</v>
      </c>
      <c r="Z131" s="264">
        <v>507301</v>
      </c>
      <c r="AA131" s="264">
        <v>242841</v>
      </c>
      <c r="AB131" s="264">
        <v>398747</v>
      </c>
      <c r="AC131" s="264">
        <v>497581</v>
      </c>
      <c r="AD131" s="264">
        <v>324536</v>
      </c>
      <c r="AE131" s="264">
        <v>386915</v>
      </c>
      <c r="AF131" s="264">
        <v>585195</v>
      </c>
      <c r="AG131" s="264">
        <v>365557</v>
      </c>
      <c r="AH131" s="264">
        <v>304854</v>
      </c>
      <c r="AI131" s="264">
        <v>529874</v>
      </c>
      <c r="AJ131" s="264">
        <v>771906</v>
      </c>
      <c r="AK131" s="264">
        <v>241872</v>
      </c>
      <c r="AL131" s="264">
        <v>127097</v>
      </c>
      <c r="AM131" s="264">
        <v>34353</v>
      </c>
      <c r="AN131" s="264">
        <v>731</v>
      </c>
    </row>
    <row r="132" spans="1:40" ht="14.25" customHeight="1">
      <c r="A132" s="266">
        <v>43738</v>
      </c>
      <c r="B132" s="264">
        <v>3968711</v>
      </c>
      <c r="C132" s="264">
        <v>185699</v>
      </c>
      <c r="D132" s="264">
        <v>19139</v>
      </c>
      <c r="E132" s="264">
        <v>402720</v>
      </c>
      <c r="F132" s="264">
        <v>305173</v>
      </c>
      <c r="G132" s="264">
        <v>245776</v>
      </c>
      <c r="H132" s="264">
        <v>314936</v>
      </c>
      <c r="I132" s="264">
        <v>216341</v>
      </c>
      <c r="J132" s="264">
        <v>282122</v>
      </c>
      <c r="K132" s="264">
        <v>261261</v>
      </c>
      <c r="L132" s="264">
        <v>376974</v>
      </c>
      <c r="M132" s="264">
        <v>128319</v>
      </c>
      <c r="N132" s="264">
        <v>254082</v>
      </c>
      <c r="O132" s="264">
        <v>235040</v>
      </c>
      <c r="P132" s="264">
        <v>487198</v>
      </c>
      <c r="Q132" s="264">
        <v>98677</v>
      </c>
      <c r="R132" s="264">
        <v>49590</v>
      </c>
      <c r="S132" s="264">
        <v>80443</v>
      </c>
      <c r="T132" s="264">
        <v>25220</v>
      </c>
      <c r="U132" s="275"/>
      <c r="V132" s="264">
        <v>6239266</v>
      </c>
      <c r="W132" s="264">
        <v>168529</v>
      </c>
      <c r="X132" s="264">
        <v>413133</v>
      </c>
      <c r="Y132" s="264">
        <v>765624</v>
      </c>
      <c r="Z132" s="264">
        <v>579592</v>
      </c>
      <c r="AA132" s="264">
        <v>217637</v>
      </c>
      <c r="AB132" s="264">
        <v>244109</v>
      </c>
      <c r="AC132" s="264">
        <v>494022</v>
      </c>
      <c r="AD132" s="264">
        <v>324559</v>
      </c>
      <c r="AE132" s="264">
        <v>367826</v>
      </c>
      <c r="AF132" s="264">
        <v>541789</v>
      </c>
      <c r="AG132" s="264">
        <v>335455</v>
      </c>
      <c r="AH132" s="264">
        <v>296668</v>
      </c>
      <c r="AI132" s="264">
        <v>450071</v>
      </c>
      <c r="AJ132" s="264">
        <v>598025</v>
      </c>
      <c r="AK132" s="264">
        <v>226879</v>
      </c>
      <c r="AL132" s="264">
        <v>173267</v>
      </c>
      <c r="AM132" s="264">
        <v>40933</v>
      </c>
      <c r="AN132" s="264">
        <v>1152</v>
      </c>
    </row>
    <row r="133" spans="1:40" ht="14.25" customHeight="1">
      <c r="A133" s="266">
        <v>43830</v>
      </c>
      <c r="B133" s="264">
        <v>4067478</v>
      </c>
      <c r="C133" s="264">
        <v>206840</v>
      </c>
      <c r="D133" s="264">
        <v>83779</v>
      </c>
      <c r="E133" s="264">
        <v>402570</v>
      </c>
      <c r="F133" s="264">
        <v>365780</v>
      </c>
      <c r="G133" s="264">
        <v>245988</v>
      </c>
      <c r="H133" s="264">
        <v>303787</v>
      </c>
      <c r="I133" s="264">
        <v>223813</v>
      </c>
      <c r="J133" s="264">
        <v>459397</v>
      </c>
      <c r="K133" s="264">
        <v>248558</v>
      </c>
      <c r="L133" s="264">
        <v>367263</v>
      </c>
      <c r="M133" s="264">
        <v>132908</v>
      </c>
      <c r="N133" s="264">
        <v>253098</v>
      </c>
      <c r="O133" s="264">
        <v>237988</v>
      </c>
      <c r="P133" s="264">
        <v>278046</v>
      </c>
      <c r="Q133" s="264">
        <v>111550</v>
      </c>
      <c r="R133" s="264">
        <v>63020</v>
      </c>
      <c r="S133" s="264">
        <v>74215</v>
      </c>
      <c r="T133" s="264">
        <v>8876</v>
      </c>
      <c r="U133" s="276"/>
      <c r="V133" s="264">
        <v>6023351</v>
      </c>
      <c r="W133" s="264">
        <v>159823</v>
      </c>
      <c r="X133" s="264">
        <v>399014</v>
      </c>
      <c r="Y133" s="264">
        <v>653406</v>
      </c>
      <c r="Z133" s="264">
        <v>518957</v>
      </c>
      <c r="AA133" s="264">
        <v>215332</v>
      </c>
      <c r="AB133" s="264">
        <v>196390</v>
      </c>
      <c r="AC133" s="264">
        <v>466936</v>
      </c>
      <c r="AD133" s="264">
        <v>337843</v>
      </c>
      <c r="AE133" s="264">
        <v>348403</v>
      </c>
      <c r="AF133" s="264">
        <v>541551</v>
      </c>
      <c r="AG133" s="264">
        <v>440332</v>
      </c>
      <c r="AH133" s="264">
        <v>326128</v>
      </c>
      <c r="AI133" s="264">
        <v>493320</v>
      </c>
      <c r="AJ133" s="264">
        <v>518859</v>
      </c>
      <c r="AK133" s="264">
        <v>247116</v>
      </c>
      <c r="AL133" s="264">
        <v>124284</v>
      </c>
      <c r="AM133" s="264">
        <v>34830</v>
      </c>
      <c r="AN133" s="264">
        <v>825</v>
      </c>
    </row>
    <row r="134" spans="1:40" ht="14.25" customHeight="1"/>
    <row r="135" spans="1:40" ht="14.25" customHeight="1">
      <c r="A135" s="245" t="s">
        <v>62</v>
      </c>
      <c r="C135" s="122">
        <f>bdp!AJ2</f>
        <v>0</v>
      </c>
      <c r="D135" s="122">
        <f>bdp!AJ3</f>
        <v>-0.2</v>
      </c>
      <c r="E135" s="122">
        <f>SUMPRODUCT(bdp!AI4:AI6,bdp!AJ4:AJ6)/SUM(bdp!AI4:AI6)</f>
        <v>0</v>
      </c>
      <c r="F135" s="122">
        <f>SUMPRODUCT(bdp!AI7:AI9,bdp!AJ7:AJ9)/SUM(bdp!AI7:AI9)</f>
        <v>-0.64519908664927539</v>
      </c>
      <c r="G135" s="122">
        <f>SUMPRODUCT(bdp!AI10:AI12,bdp!AJ10:AJ12)/SUM(bdp!AI10:AI12)</f>
        <v>-0.30183525513490572</v>
      </c>
      <c r="H135" s="122">
        <f>bdp!AJ13</f>
        <v>-0.3</v>
      </c>
      <c r="I135" s="122">
        <f>bdp!AJ14</f>
        <v>-0.3</v>
      </c>
      <c r="J135" s="122">
        <f>bdp!AJ15</f>
        <v>0</v>
      </c>
      <c r="K135" s="122">
        <f>SUMPRODUCT(bdp!AI16:AI17,bdp!AJ16:AJ17)/SUM(bdp!AI16:AI17)</f>
        <v>-0.30000000000000004</v>
      </c>
      <c r="L135" s="122">
        <f>SUMPRODUCT(bdp!AI18:AI19,bdp!AJ18:AJ19)/SUM(bdp!AI18:AI19)</f>
        <v>-0.30000000000000004</v>
      </c>
      <c r="M135" s="122">
        <f>bdp!AJ20</f>
        <v>-0.3</v>
      </c>
      <c r="N135" s="122">
        <f>bdp!AJ21</f>
        <v>-0.3</v>
      </c>
      <c r="O135" s="122">
        <f>bdp!AJ22</f>
        <v>-0.3</v>
      </c>
      <c r="P135" s="122">
        <f>SUMPRODUCT(bdp!AI23:AI24,bdp!AJ23:AJ24)/SUM(bdp!AI23:AI24)</f>
        <v>-0.44183649667362385</v>
      </c>
      <c r="Q135" s="122">
        <f>SUMPRODUCT(bdp!AI26:AI27,bdp!AJ26:AJ27)/SUM(bdp!AI26:AI27)</f>
        <v>-0.46345633110486778</v>
      </c>
      <c r="R135" s="122">
        <f>bdp!AJ28</f>
        <v>0</v>
      </c>
      <c r="S135" s="122">
        <f>SUMPRODUCT(bdp!AI29:AI44,bdp!AJ29:AJ44)/SUM(bdp!AI29:AI44)</f>
        <v>-0.37269992850409267</v>
      </c>
      <c r="T135" s="122">
        <v>0</v>
      </c>
    </row>
    <row r="136" spans="1:40" ht="14.25" customHeight="1"/>
    <row r="137" spans="1:40" ht="14.25" customHeight="1"/>
    <row r="138" spans="1:40" ht="14.25" customHeight="1"/>
    <row r="139" spans="1:40" ht="14.25" customHeight="1"/>
    <row r="140" spans="1:40" ht="14.25" customHeight="1"/>
    <row r="141" spans="1:40" ht="14.25" customHeight="1"/>
    <row r="142" spans="1:40" ht="14.25" customHeight="1"/>
    <row r="143" spans="1:40" ht="14.25" customHeight="1"/>
    <row r="144" spans="1:4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D1:BF1"/>
    <mergeCell ref="BG1:BI1"/>
    <mergeCell ref="B100:B101"/>
  </mergeCells>
  <conditionalFormatting sqref="E3:L82 P3:R82 L3:L86 L93:L96 L88:L91 Q3:R86 Q88:R91 Q93:R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T1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:AN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4:BI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:E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E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J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J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J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1"/>
  <sheetViews>
    <sheetView workbookViewId="0">
      <pane xSplit="1" ySplit="2" topLeftCell="B75" activePane="bottomRight" state="frozen"/>
      <selection pane="topRight" activeCell="B1" sqref="B1"/>
      <selection pane="bottomLeft" activeCell="A2" sqref="A2"/>
      <selection pane="bottomRight" activeCell="F104" sqref="F104"/>
    </sheetView>
  </sheetViews>
  <sheetFormatPr defaultColWidth="12.59765625" defaultRowHeight="15" customHeight="1"/>
  <cols>
    <col min="1" max="1" width="8.8984375" customWidth="1"/>
    <col min="2" max="2" width="8.09765625" customWidth="1"/>
    <col min="3" max="3" width="9" customWidth="1"/>
    <col min="4" max="6" width="7.59765625" customWidth="1"/>
    <col min="7" max="7" width="9.09765625" bestFit="1" customWidth="1"/>
    <col min="8" max="26" width="7.59765625" customWidth="1"/>
  </cols>
  <sheetData>
    <row r="1" spans="1:10" ht="15" customHeight="1">
      <c r="H1" s="364" t="s">
        <v>958</v>
      </c>
      <c r="I1" s="364"/>
      <c r="J1" s="364"/>
    </row>
    <row r="2" spans="1:10" ht="14.25" customHeight="1">
      <c r="A2" s="34" t="s">
        <v>9</v>
      </c>
      <c r="B2" s="34" t="s">
        <v>11</v>
      </c>
      <c r="C2" s="34" t="s">
        <v>616</v>
      </c>
      <c r="D2" s="34" t="s">
        <v>12</v>
      </c>
      <c r="E2" s="2" t="s">
        <v>617</v>
      </c>
      <c r="G2" s="34" t="s">
        <v>9</v>
      </c>
      <c r="H2" s="9" t="s">
        <v>22</v>
      </c>
      <c r="I2" s="12" t="s">
        <v>24</v>
      </c>
      <c r="J2" s="20" t="s">
        <v>31</v>
      </c>
    </row>
    <row r="3" spans="1:10" ht="14.25" customHeight="1">
      <c r="A3" s="21">
        <v>36981</v>
      </c>
      <c r="B3" s="229">
        <v>3.1835925459392485</v>
      </c>
      <c r="C3" s="229">
        <f>VLOOKUP(A3,[1]krediti!$A$2:$E$309,5,FALSE)</f>
        <v>15.339758068527187</v>
      </c>
      <c r="D3" s="229">
        <f>VLOOKUP(A3,[1]unemp!$A$2:$C$266,2)</f>
        <v>21.919237490831904</v>
      </c>
      <c r="E3" s="230">
        <v>0.88571488722695202</v>
      </c>
      <c r="F3" s="21"/>
      <c r="G3" s="21">
        <v>36981</v>
      </c>
      <c r="H3" s="229">
        <v>15.339758068527187</v>
      </c>
      <c r="I3" s="229">
        <v>15.339758068527187</v>
      </c>
      <c r="J3" s="229">
        <v>15.339758068527187</v>
      </c>
    </row>
    <row r="4" spans="1:10" ht="14.25" customHeight="1">
      <c r="A4" s="21">
        <v>37072</v>
      </c>
      <c r="B4" s="229">
        <v>4.6646066112930384</v>
      </c>
      <c r="C4" s="229">
        <f>VLOOKUP(A4,[1]krediti!$A$2:$E$309,5,TRUE)</f>
        <v>19.628209963809763</v>
      </c>
      <c r="D4" s="229">
        <f>VLOOKUP(A4,[1]unemp!$A$2:$C$266,2)</f>
        <v>21.853602628401145</v>
      </c>
      <c r="E4" s="230">
        <v>0.99951859965371004</v>
      </c>
      <c r="F4" s="21"/>
      <c r="G4" s="21">
        <v>37072</v>
      </c>
      <c r="H4" s="229">
        <v>19.628209963809763</v>
      </c>
      <c r="I4" s="229">
        <v>19.628209963809763</v>
      </c>
      <c r="J4" s="229">
        <v>19.628209963809763</v>
      </c>
    </row>
    <row r="5" spans="1:10" ht="14.25" customHeight="1">
      <c r="A5" s="21">
        <v>37164</v>
      </c>
      <c r="B5" s="229">
        <v>3.1866120072348281</v>
      </c>
      <c r="C5" s="229">
        <f>VLOOKUP(A5,[1]krediti!$A$2:$E$309,5,TRUE)</f>
        <v>23.684996858984153</v>
      </c>
      <c r="D5" s="229">
        <f>VLOOKUP(A5,[1]unemp!$A$2:$C$266,2)</f>
        <v>22.128893009291254</v>
      </c>
      <c r="E5" s="230">
        <v>1.4542121268058401</v>
      </c>
      <c r="F5" s="21"/>
      <c r="G5" s="21">
        <v>37164</v>
      </c>
      <c r="H5" s="229">
        <v>23.684996858984153</v>
      </c>
      <c r="I5" s="229">
        <v>23.684996858984153</v>
      </c>
      <c r="J5" s="229">
        <v>23.684996858984153</v>
      </c>
    </row>
    <row r="6" spans="1:10" ht="14.25" customHeight="1">
      <c r="A6" s="21">
        <v>37256</v>
      </c>
      <c r="B6" s="229">
        <v>2.3662516308528154</v>
      </c>
      <c r="C6" s="229">
        <f>VLOOKUP(A6,[1]krediti!$A$2:$E$309,5,TRUE)</f>
        <v>23.144081180534858</v>
      </c>
      <c r="D6" s="229">
        <f>VLOOKUP(A6,[1]unemp!$A$2:$C$266,2)</f>
        <v>22.423856018141066</v>
      </c>
      <c r="E6" s="230">
        <v>1.9284674439827201</v>
      </c>
      <c r="F6" s="21"/>
      <c r="G6" s="21">
        <v>37256</v>
      </c>
      <c r="H6" s="229">
        <v>23.144081180534858</v>
      </c>
      <c r="I6" s="229">
        <v>23.144081180534858</v>
      </c>
      <c r="J6" s="229">
        <v>23.144081180534858</v>
      </c>
    </row>
    <row r="7" spans="1:10" ht="14.25" customHeight="1">
      <c r="A7" s="21">
        <v>37346</v>
      </c>
      <c r="B7" s="229">
        <v>5.7611197003427463</v>
      </c>
      <c r="C7" s="229">
        <f>VLOOKUP(A7,[1]krediti!$A$2:$E$309,5,TRUE)</f>
        <v>23.382538845302768</v>
      </c>
      <c r="D7" s="229">
        <f>VLOOKUP(A7,[1]unemp!$A$2:$C$266,2)</f>
        <v>22.874574363120143</v>
      </c>
      <c r="E7" s="230">
        <v>2.55823368152936</v>
      </c>
      <c r="F7" s="21"/>
      <c r="G7" s="21">
        <v>37346</v>
      </c>
      <c r="H7" s="229">
        <v>23.382538845302768</v>
      </c>
      <c r="I7" s="229">
        <v>23.382538845302768</v>
      </c>
      <c r="J7" s="229">
        <v>23.382538845302768</v>
      </c>
    </row>
    <row r="8" spans="1:10" ht="14.25" customHeight="1">
      <c r="A8" s="21">
        <v>37437</v>
      </c>
      <c r="B8" s="229">
        <v>4.9715071116023637</v>
      </c>
      <c r="C8" s="229">
        <f>VLOOKUP(A8,[1]krediti!$A$2:$E$309,5,TRUE)</f>
        <v>25.828519614663037</v>
      </c>
      <c r="D8" s="229">
        <f>VLOOKUP(A8,[1]unemp!$A$2:$C$266,2)</f>
        <v>22.634245467963829</v>
      </c>
      <c r="E8" s="230">
        <v>2.4964975466587802</v>
      </c>
      <c r="F8" s="21"/>
      <c r="G8" s="21">
        <v>37437</v>
      </c>
      <c r="H8" s="229">
        <v>25.828519614663037</v>
      </c>
      <c r="I8" s="229">
        <v>25.828519614663037</v>
      </c>
      <c r="J8" s="229">
        <v>25.828519614663037</v>
      </c>
    </row>
    <row r="9" spans="1:10" ht="14.25" customHeight="1">
      <c r="A9" s="21">
        <v>37529</v>
      </c>
      <c r="B9" s="229">
        <v>6.0401295047224579</v>
      </c>
      <c r="C9" s="229">
        <f>VLOOKUP(A9,[1]krediti!$A$2:$E$309,5,TRUE)</f>
        <v>27.52086417033599</v>
      </c>
      <c r="D9" s="229">
        <f>VLOOKUP(A9,[1]unemp!$A$2:$C$266,2)</f>
        <v>21.999101980451766</v>
      </c>
      <c r="E9" s="230">
        <v>2.0391786412810902</v>
      </c>
      <c r="F9" s="21"/>
      <c r="G9" s="21">
        <v>37529</v>
      </c>
      <c r="H9" s="229">
        <v>27.52086417033599</v>
      </c>
      <c r="I9" s="229">
        <v>27.52086417033599</v>
      </c>
      <c r="J9" s="229">
        <v>27.52086417033599</v>
      </c>
    </row>
    <row r="10" spans="1:10" ht="14.25" customHeight="1">
      <c r="A10" s="21">
        <v>37621</v>
      </c>
      <c r="B10" s="229">
        <v>3.6724267690282772</v>
      </c>
      <c r="C10" s="229">
        <f>VLOOKUP(A10,[1]krediti!$A$2:$E$309,5,TRUE)</f>
        <v>30.117466156454586</v>
      </c>
      <c r="D10" s="229">
        <f>VLOOKUP(A10,[1]unemp!$A$2:$C$266,2)</f>
        <v>20.946958928266469</v>
      </c>
      <c r="E10" s="230">
        <v>1.1636790873073399</v>
      </c>
      <c r="F10" s="21"/>
      <c r="G10" s="21">
        <v>37621</v>
      </c>
      <c r="H10" s="229">
        <v>30.117466156454586</v>
      </c>
      <c r="I10" s="229">
        <v>30.117466156454586</v>
      </c>
      <c r="J10" s="229">
        <v>30.117466156454586</v>
      </c>
    </row>
    <row r="11" spans="1:10" ht="14.25" customHeight="1">
      <c r="A11" s="21">
        <v>37711</v>
      </c>
      <c r="B11" s="229">
        <v>5.9757585437295404</v>
      </c>
      <c r="C11" s="229">
        <f>VLOOKUP(A11,[1]krediti!$A$2:$E$309,5,TRUE)</f>
        <v>28.706081426335817</v>
      </c>
      <c r="D11" s="229">
        <f>VLOOKUP(A11,[1]unemp!$A$2:$C$266,2)</f>
        <v>19.806284273233931</v>
      </c>
      <c r="E11" s="230">
        <v>0.197972373646425</v>
      </c>
      <c r="F11" s="21"/>
      <c r="G11" s="21">
        <v>37711</v>
      </c>
      <c r="H11" s="229">
        <v>28.706081426335817</v>
      </c>
      <c r="I11" s="229">
        <v>28.706081426335817</v>
      </c>
      <c r="J11" s="229">
        <v>28.706081426335817</v>
      </c>
    </row>
    <row r="12" spans="1:10" ht="14.25" customHeight="1">
      <c r="A12" s="21">
        <v>37802</v>
      </c>
      <c r="B12" s="229">
        <v>6.6723426279648947</v>
      </c>
      <c r="C12" s="229">
        <f>VLOOKUP(A12,[1]krediti!$A$2:$E$309,5,TRUE)</f>
        <v>22.507895967338442</v>
      </c>
      <c r="D12" s="229">
        <f>VLOOKUP(A12,[1]unemp!$A$2:$C$266,2)</f>
        <v>19.207453565613989</v>
      </c>
      <c r="E12" s="230">
        <v>-0.228106969522098</v>
      </c>
      <c r="F12" s="21"/>
      <c r="G12" s="21">
        <v>37802</v>
      </c>
      <c r="H12" s="229">
        <v>22.507895967338442</v>
      </c>
      <c r="I12" s="229">
        <v>22.507895967338442</v>
      </c>
      <c r="J12" s="229">
        <v>22.507895967338442</v>
      </c>
    </row>
    <row r="13" spans="1:10" ht="14.25" customHeight="1">
      <c r="A13" s="21">
        <v>37894</v>
      </c>
      <c r="B13" s="229">
        <v>5.0627962071036876</v>
      </c>
      <c r="C13" s="229">
        <f>VLOOKUP(A13,[1]krediti!$A$2:$E$309,5,TRUE)</f>
        <v>17.651335654884505</v>
      </c>
      <c r="D13" s="229">
        <f>VLOOKUP(A13,[1]unemp!$A$2:$C$266,2)</f>
        <v>18.487452080598576</v>
      </c>
      <c r="E13" s="230">
        <v>-0.77812260598203797</v>
      </c>
      <c r="F13" s="21"/>
      <c r="G13" s="21">
        <v>37894</v>
      </c>
      <c r="H13" s="229">
        <v>17.651335654884505</v>
      </c>
      <c r="I13" s="229">
        <v>17.651335654884505</v>
      </c>
      <c r="J13" s="229">
        <v>17.651335654884505</v>
      </c>
    </row>
    <row r="14" spans="1:10" ht="14.25" customHeight="1">
      <c r="A14" s="21">
        <v>37986</v>
      </c>
      <c r="B14" s="229">
        <v>4.8994155622266362</v>
      </c>
      <c r="C14" s="229">
        <f>VLOOKUP(A14,[1]krediti!$A$2:$E$309,5,TRUE)</f>
        <v>14.649778309674577</v>
      </c>
      <c r="D14" s="229">
        <f>VLOOKUP(A14,[1]unemp!$A$2:$C$266,2)</f>
        <v>18.254025122637149</v>
      </c>
      <c r="E14" s="230">
        <v>-0.84486904598072599</v>
      </c>
      <c r="F14" s="21"/>
      <c r="G14" s="21">
        <v>37986</v>
      </c>
      <c r="H14" s="229">
        <v>14.649778309674577</v>
      </c>
      <c r="I14" s="229">
        <v>14.649778309674577</v>
      </c>
      <c r="J14" s="229">
        <v>14.649778309674577</v>
      </c>
    </row>
    <row r="15" spans="1:10" ht="14.25" customHeight="1">
      <c r="A15" s="21">
        <v>38077</v>
      </c>
      <c r="B15" s="229">
        <v>4.810697890281773</v>
      </c>
      <c r="C15" s="229">
        <f>VLOOKUP(A15,[1]krediti!$A$2:$E$309,5,TRUE)</f>
        <v>10.384637360180605</v>
      </c>
      <c r="D15" s="229">
        <f>VLOOKUP(A15,[1]unemp!$A$2:$C$266,2)</f>
        <v>18.056915580642976</v>
      </c>
      <c r="E15" s="230">
        <v>-0.87911209039738603</v>
      </c>
      <c r="F15" s="21"/>
      <c r="G15" s="21">
        <v>38077</v>
      </c>
      <c r="H15" s="229">
        <v>10.384637360180605</v>
      </c>
      <c r="I15" s="229">
        <v>10.384637360180605</v>
      </c>
      <c r="J15" s="229">
        <v>10.384637360180605</v>
      </c>
    </row>
    <row r="16" spans="1:10" ht="14.25" customHeight="1">
      <c r="A16" s="21">
        <v>38168</v>
      </c>
      <c r="B16" s="229">
        <v>3.5633158386821009</v>
      </c>
      <c r="C16" s="229">
        <f>VLOOKUP(A16,[1]krediti!$A$2:$E$309,5,TRUE)</f>
        <v>12.316470325074613</v>
      </c>
      <c r="D16" s="229">
        <f>VLOOKUP(A16,[1]unemp!$A$2:$C$266,2)</f>
        <v>17.948147201702518</v>
      </c>
      <c r="E16" s="230">
        <v>-0.82930288717627698</v>
      </c>
      <c r="F16" s="21"/>
      <c r="G16" s="21">
        <v>38168</v>
      </c>
      <c r="H16" s="229">
        <v>12.316470325074613</v>
      </c>
      <c r="I16" s="229">
        <v>12.316470325074613</v>
      </c>
      <c r="J16" s="229">
        <v>12.316470325074613</v>
      </c>
    </row>
    <row r="17" spans="1:10" ht="14.25" customHeight="1">
      <c r="A17" s="21">
        <v>38260</v>
      </c>
      <c r="B17" s="229">
        <v>3.4414640494622404</v>
      </c>
      <c r="C17" s="229">
        <f>VLOOKUP(A17,[1]krediti!$A$2:$E$309,5,TRUE)</f>
        <v>12.664669131773598</v>
      </c>
      <c r="D17" s="229">
        <f>VLOOKUP(A17,[1]unemp!$A$2:$C$266,2)</f>
        <v>18.016393071770217</v>
      </c>
      <c r="E17" s="230">
        <v>-0.60720808090994105</v>
      </c>
      <c r="F17" s="21"/>
      <c r="G17" s="21">
        <v>38260</v>
      </c>
      <c r="H17" s="229">
        <v>12.664669131773598</v>
      </c>
      <c r="I17" s="229">
        <v>12.664669131773598</v>
      </c>
      <c r="J17" s="229">
        <v>12.664669131773598</v>
      </c>
    </row>
    <row r="18" spans="1:10" ht="14.25" customHeight="1">
      <c r="A18" s="21">
        <v>38352</v>
      </c>
      <c r="B18" s="229">
        <v>4.9468876416354277</v>
      </c>
      <c r="C18" s="229">
        <f>VLOOKUP(A18,[1]krediti!$A$2:$E$309,5,TRUE)</f>
        <v>14.155481335172325</v>
      </c>
      <c r="D18" s="229">
        <f>VLOOKUP(A18,[1]unemp!$A$2:$C$266,2)</f>
        <v>18.054078227773822</v>
      </c>
      <c r="E18" s="230">
        <v>-0.42080919310221598</v>
      </c>
      <c r="F18" s="21"/>
      <c r="G18" s="21">
        <v>38352</v>
      </c>
      <c r="H18" s="229">
        <v>14.155481335172325</v>
      </c>
      <c r="I18" s="229">
        <v>14.155481335172325</v>
      </c>
      <c r="J18" s="229">
        <v>14.155481335172325</v>
      </c>
    </row>
    <row r="19" spans="1:10" ht="14.25" customHeight="1">
      <c r="A19" s="21">
        <v>38442</v>
      </c>
      <c r="B19" s="229">
        <v>1.3320108326992681</v>
      </c>
      <c r="C19" s="229">
        <f>VLOOKUP(A19,[1]krediti!$A$2:$E$309,5,TRUE)</f>
        <v>13.32149727629437</v>
      </c>
      <c r="D19" s="229">
        <f>VLOOKUP(A19,[1]unemp!$A$2:$C$266,2)</f>
        <v>18.172802167268411</v>
      </c>
      <c r="E19" s="230">
        <v>-0.158888996306251</v>
      </c>
      <c r="F19" s="21"/>
      <c r="G19" s="21">
        <v>38442</v>
      </c>
      <c r="H19" s="229">
        <v>13.32149727629437</v>
      </c>
      <c r="I19" s="229">
        <v>13.32149727629437</v>
      </c>
      <c r="J19" s="229">
        <v>13.32149727629437</v>
      </c>
    </row>
    <row r="20" spans="1:10" ht="14.25" customHeight="1">
      <c r="A20" s="21">
        <v>38533</v>
      </c>
      <c r="B20" s="229">
        <v>5.0810752886051063</v>
      </c>
      <c r="C20" s="229">
        <f>VLOOKUP(A20,[1]krediti!$A$2:$E$309,5,TRUE)</f>
        <v>14.731427300288447</v>
      </c>
      <c r="D20" s="229">
        <f>VLOOKUP(A20,[1]unemp!$A$2:$C$266,2)</f>
        <v>17.996458473542468</v>
      </c>
      <c r="E20" s="230">
        <v>-0.19791934497426</v>
      </c>
      <c r="F20" s="21"/>
      <c r="G20" s="21">
        <v>38533</v>
      </c>
      <c r="H20" s="229">
        <v>14.731427300288447</v>
      </c>
      <c r="I20" s="229">
        <v>14.731427300288447</v>
      </c>
      <c r="J20" s="229">
        <v>14.731427300288447</v>
      </c>
    </row>
    <row r="21" spans="1:10" ht="14.25" customHeight="1">
      <c r="A21" s="21">
        <v>38625</v>
      </c>
      <c r="B21" s="229">
        <v>5.4673647442487976</v>
      </c>
      <c r="C21" s="229">
        <f>VLOOKUP(A21,[1]krediti!$A$2:$E$309,5,TRUE)</f>
        <v>16.93765887210763</v>
      </c>
      <c r="D21" s="229">
        <f>VLOOKUP(A21,[1]unemp!$A$2:$C$266,2)</f>
        <v>17.640247345595956</v>
      </c>
      <c r="E21" s="230">
        <v>-0.42305912228714698</v>
      </c>
      <c r="F21" s="21"/>
      <c r="G21" s="21">
        <v>38625</v>
      </c>
      <c r="H21" s="229">
        <v>16.93765887210763</v>
      </c>
      <c r="I21" s="229">
        <v>16.93765887210763</v>
      </c>
      <c r="J21" s="229">
        <v>16.93765887210763</v>
      </c>
    </row>
    <row r="22" spans="1:10" ht="14.25" customHeight="1">
      <c r="A22" s="21">
        <v>38717</v>
      </c>
      <c r="B22" s="229">
        <v>5.1321934870718309</v>
      </c>
      <c r="C22" s="229">
        <f>VLOOKUP(A22,[1]krediti!$A$2:$E$309,5,TRUE)</f>
        <v>17.278977973044761</v>
      </c>
      <c r="D22" s="229">
        <f>VLOOKUP(A22,[1]unemp!$A$2:$C$266,2)</f>
        <v>17.35101723584404</v>
      </c>
      <c r="E22" s="230">
        <v>-0.58781104123641104</v>
      </c>
      <c r="F22" s="21"/>
      <c r="G22" s="21">
        <v>38717</v>
      </c>
      <c r="H22" s="229">
        <v>17.278977973044761</v>
      </c>
      <c r="I22" s="229">
        <v>17.278977973044761</v>
      </c>
      <c r="J22" s="229">
        <v>17.278977973044761</v>
      </c>
    </row>
    <row r="23" spans="1:10" ht="14.25" customHeight="1">
      <c r="A23" s="21">
        <v>38807</v>
      </c>
      <c r="B23" s="229">
        <v>6.5762501279509991</v>
      </c>
      <c r="C23" s="229">
        <f>VLOOKUP(A23,[1]krediti!$A$2:$E$309,5,TRUE)</f>
        <v>22.299405752243008</v>
      </c>
      <c r="D23" s="229">
        <f>VLOOKUP(A23,[1]unemp!$A$2:$C$266,2)</f>
        <v>16.856863583235793</v>
      </c>
      <c r="E23" s="230">
        <v>-0.96441390591542198</v>
      </c>
      <c r="F23" s="21"/>
      <c r="G23" s="21">
        <v>38807</v>
      </c>
      <c r="H23" s="229">
        <v>22.299405752243008</v>
      </c>
      <c r="I23" s="229">
        <v>22.299405752243008</v>
      </c>
      <c r="J23" s="229">
        <v>22.299405752243008</v>
      </c>
    </row>
    <row r="24" spans="1:10" ht="14.25" customHeight="1">
      <c r="A24" s="21">
        <v>38898</v>
      </c>
      <c r="B24" s="229">
        <v>4.1979744499520706</v>
      </c>
      <c r="C24" s="229">
        <f>VLOOKUP(A24,[1]krediti!$A$2:$E$309,5,TRUE)</f>
        <v>23.300449534493083</v>
      </c>
      <c r="D24" s="229">
        <f>VLOOKUP(A24,[1]unemp!$A$2:$C$266,2)</f>
        <v>16.447038032342665</v>
      </c>
      <c r="E24" s="230">
        <v>-1.26392680235288</v>
      </c>
      <c r="F24" s="21"/>
      <c r="G24" s="21">
        <v>38898</v>
      </c>
      <c r="H24" s="229">
        <v>23.300449534493083</v>
      </c>
      <c r="I24" s="229">
        <v>23.300449534493083</v>
      </c>
      <c r="J24" s="229">
        <v>23.300449534493083</v>
      </c>
    </row>
    <row r="25" spans="1:10" ht="14.25" customHeight="1">
      <c r="A25" s="21">
        <v>38990</v>
      </c>
      <c r="B25" s="229">
        <v>4.1993772477144802</v>
      </c>
      <c r="C25" s="229">
        <f>VLOOKUP(A25,[1]krediti!$A$2:$E$309,5,TRUE)</f>
        <v>22.631795556214552</v>
      </c>
      <c r="D25" s="229">
        <f>VLOOKUP(A25,[1]unemp!$A$2:$C$266,2)</f>
        <v>16.414263312616935</v>
      </c>
      <c r="E25" s="230">
        <v>-1.19389915514078</v>
      </c>
      <c r="F25" s="21"/>
      <c r="G25" s="21">
        <v>38990</v>
      </c>
      <c r="H25" s="229">
        <v>22.631795556214552</v>
      </c>
      <c r="I25" s="229">
        <v>22.631795556214552</v>
      </c>
      <c r="J25" s="229">
        <v>22.631795556214552</v>
      </c>
    </row>
    <row r="26" spans="1:10" ht="14.25" customHeight="1">
      <c r="A26" s="21">
        <v>39082</v>
      </c>
      <c r="B26" s="229">
        <v>5.2420919651346765</v>
      </c>
      <c r="C26" s="229">
        <f>VLOOKUP(A26,[1]krediti!$A$2:$E$309,5,TRUE)</f>
        <v>23.327638624370529</v>
      </c>
      <c r="D26" s="229">
        <f>VLOOKUP(A26,[1]unemp!$A$2:$C$266,2)</f>
        <v>16.162297666474061</v>
      </c>
      <c r="E26" s="230">
        <v>-1.3507943188358</v>
      </c>
      <c r="F26" s="21"/>
      <c r="G26" s="21">
        <v>39082</v>
      </c>
      <c r="H26" s="229">
        <v>23.327638624370529</v>
      </c>
      <c r="I26" s="229">
        <v>23.327638624370529</v>
      </c>
      <c r="J26" s="229">
        <v>23.327638624370529</v>
      </c>
    </row>
    <row r="27" spans="1:10" ht="14.25" customHeight="1">
      <c r="A27" s="21">
        <v>39172</v>
      </c>
      <c r="B27" s="229">
        <v>6.3900088341466699</v>
      </c>
      <c r="C27" s="229">
        <f>VLOOKUP(A27,[1]krediti!$A$2:$E$309,5,TRUE)</f>
        <v>22.744249383353999</v>
      </c>
      <c r="D27" s="229">
        <f>VLOOKUP(A27,[1]unemp!$A$2:$C$266,2)</f>
        <v>15.439301448019101</v>
      </c>
      <c r="E27" s="230">
        <v>-1.9866257803387</v>
      </c>
      <c r="F27" s="21"/>
      <c r="G27" s="21">
        <v>39172</v>
      </c>
      <c r="H27" s="229">
        <v>22.744249383353999</v>
      </c>
      <c r="I27" s="229">
        <v>22.744249383353999</v>
      </c>
      <c r="J27" s="229">
        <v>22.744249383353999</v>
      </c>
    </row>
    <row r="28" spans="1:10" ht="14.25" customHeight="1">
      <c r="A28" s="21">
        <v>39263</v>
      </c>
      <c r="B28" s="229">
        <v>5.9151569736022083</v>
      </c>
      <c r="C28" s="229">
        <f>VLOOKUP(A28,[1]krediti!$A$2:$E$309,5,TRUE)</f>
        <v>21.600186313204329</v>
      </c>
      <c r="D28" s="229">
        <f>VLOOKUP(A28,[1]unemp!$A$2:$C$266,2)</f>
        <v>14.852021997673672</v>
      </c>
      <c r="E28" s="230">
        <v>-2.4947660084610201</v>
      </c>
      <c r="F28" s="21"/>
      <c r="G28" s="21">
        <v>39263</v>
      </c>
      <c r="H28" s="229">
        <v>21.600186313204329</v>
      </c>
      <c r="I28" s="229">
        <v>21.600186313204329</v>
      </c>
      <c r="J28" s="229">
        <v>21.600186313204329</v>
      </c>
    </row>
    <row r="29" spans="1:10" ht="14.25" customHeight="1">
      <c r="A29" s="21">
        <v>39355</v>
      </c>
      <c r="B29" s="229">
        <v>4.7434249558204016</v>
      </c>
      <c r="C29" s="229">
        <f>VLOOKUP(A29,[1]krediti!$A$2:$E$309,5,TRUE)</f>
        <v>17.762938152163123</v>
      </c>
      <c r="D29" s="229">
        <f>VLOOKUP(A29,[1]unemp!$A$2:$C$266,2)</f>
        <v>14.46366011500802</v>
      </c>
      <c r="E29" s="230">
        <v>-2.8120545478340899</v>
      </c>
      <c r="F29" s="21"/>
      <c r="G29" s="21">
        <v>39355</v>
      </c>
      <c r="H29" s="229">
        <v>17.762938152163123</v>
      </c>
      <c r="I29" s="229">
        <v>17.762938152163123</v>
      </c>
      <c r="J29" s="229">
        <v>17.762938152163123</v>
      </c>
    </row>
    <row r="30" spans="1:10" ht="14.25" customHeight="1">
      <c r="A30" s="21">
        <v>39447</v>
      </c>
      <c r="B30" s="229">
        <v>4.1200517556200396</v>
      </c>
      <c r="C30" s="229">
        <f>VLOOKUP(A30,[1]krediti!$A$2:$E$309,5,TRUE)</f>
        <v>15.363870394136892</v>
      </c>
      <c r="D30" s="229">
        <f>VLOOKUP(A30,[1]unemp!$A$2:$C$266,2)</f>
        <v>13.923872138358433</v>
      </c>
      <c r="E30" s="230">
        <v>-3.2887756136833199</v>
      </c>
      <c r="F30" s="21"/>
      <c r="G30" s="21">
        <v>39447</v>
      </c>
      <c r="H30" s="229">
        <v>15.363870394136892</v>
      </c>
      <c r="I30" s="229">
        <v>15.363870394136892</v>
      </c>
      <c r="J30" s="229">
        <v>15.363870394136892</v>
      </c>
    </row>
    <row r="31" spans="1:10" ht="14.25" customHeight="1">
      <c r="A31" s="21">
        <v>39538</v>
      </c>
      <c r="B31" s="229">
        <v>2.901486866103582</v>
      </c>
      <c r="C31" s="293">
        <v>13.390549315164208</v>
      </c>
      <c r="D31" s="229">
        <f>VLOOKUP(A31,[1]unemp!$A$2:$C$266,2)</f>
        <v>13.300571388306553</v>
      </c>
      <c r="E31" s="230">
        <v>-3.8568439568069999</v>
      </c>
      <c r="F31" s="21"/>
      <c r="G31" s="21">
        <v>39538</v>
      </c>
      <c r="H31" s="293">
        <v>13.390549315164208</v>
      </c>
      <c r="I31" s="293">
        <v>13.390549315164208</v>
      </c>
      <c r="J31" s="293">
        <v>13.390549315164208</v>
      </c>
    </row>
    <row r="32" spans="1:10" ht="14.25" customHeight="1">
      <c r="A32" s="21">
        <v>39629</v>
      </c>
      <c r="B32" s="229">
        <v>3.092621264257005</v>
      </c>
      <c r="C32" s="293">
        <v>10.872020773374217</v>
      </c>
      <c r="D32" s="229">
        <f>VLOOKUP(A32,[1]unemp!$A$2:$C$266,2)</f>
        <v>13.22933494979319</v>
      </c>
      <c r="E32" s="230">
        <v>-3.8803790126191702</v>
      </c>
      <c r="F32" s="21"/>
      <c r="G32" s="21">
        <v>39629</v>
      </c>
      <c r="H32" s="293">
        <v>10.872020773374217</v>
      </c>
      <c r="I32" s="293">
        <v>10.872020773374217</v>
      </c>
      <c r="J32" s="293">
        <v>10.872020773374217</v>
      </c>
    </row>
    <row r="33" spans="1:10" ht="14.25" customHeight="1">
      <c r="A33" s="21">
        <v>39721</v>
      </c>
      <c r="B33" s="229">
        <v>1.7035991173792269</v>
      </c>
      <c r="C33" s="293">
        <v>12.041973135024406</v>
      </c>
      <c r="D33" s="229">
        <f>VLOOKUP(A33,[1]unemp!$A$2:$C$266,2)</f>
        <v>13.135480921932745</v>
      </c>
      <c r="E33" s="230">
        <v>-3.93360492860235</v>
      </c>
      <c r="F33" s="21"/>
      <c r="G33" s="21">
        <v>39721</v>
      </c>
      <c r="H33" s="293">
        <v>12.041973135024406</v>
      </c>
      <c r="I33" s="293">
        <v>12.041973135024406</v>
      </c>
      <c r="J33" s="293">
        <v>12.041973135024406</v>
      </c>
    </row>
    <row r="34" spans="1:10" ht="14.25" customHeight="1">
      <c r="A34" s="21">
        <v>39813</v>
      </c>
      <c r="B34" s="229">
        <v>-0.64648472106203769</v>
      </c>
      <c r="C34" s="293">
        <v>8.7039305515353931</v>
      </c>
      <c r="D34" s="229">
        <f>VLOOKUP(A34,[1]unemp!$A$2:$C$266,2)</f>
        <v>13.042909457336448</v>
      </c>
      <c r="E34" s="230">
        <v>-3.9920085835817098</v>
      </c>
      <c r="F34" s="21"/>
      <c r="G34" s="21">
        <v>39813</v>
      </c>
      <c r="H34" s="293">
        <v>8.7039305515353931</v>
      </c>
      <c r="I34" s="293">
        <v>8.7039305515353931</v>
      </c>
      <c r="J34" s="293">
        <v>8.7039305515353931</v>
      </c>
    </row>
    <row r="35" spans="1:10" ht="14.25" customHeight="1">
      <c r="A35" s="21">
        <v>39903</v>
      </c>
      <c r="B35" s="229">
        <v>-8.8169943967401565</v>
      </c>
      <c r="C35" s="293">
        <v>6.5478294595665005</v>
      </c>
      <c r="D35" s="229">
        <f>VLOOKUP(A35,[1]unemp!$A$2:$C$266,2)</f>
        <v>13.997141567094763</v>
      </c>
      <c r="E35" s="230">
        <v>-3.0092986537059101</v>
      </c>
      <c r="F35" s="21"/>
      <c r="G35" s="21">
        <v>39903</v>
      </c>
      <c r="H35" s="293">
        <v>6.5478294595665005</v>
      </c>
      <c r="I35" s="293">
        <v>6.5478294595665005</v>
      </c>
      <c r="J35" s="293">
        <v>6.5478294595665005</v>
      </c>
    </row>
    <row r="36" spans="1:10" ht="14.25" customHeight="1">
      <c r="A36" s="21">
        <v>39994</v>
      </c>
      <c r="B36" s="229">
        <v>-8.5892060228062235</v>
      </c>
      <c r="C36" s="293">
        <v>3.4683884842165185</v>
      </c>
      <c r="D36" s="229">
        <f>VLOOKUP(A36,[1]unemp!$A$2:$C$266,2)</f>
        <v>14.911772067616077</v>
      </c>
      <c r="E36" s="230">
        <v>-2.0709503294624101</v>
      </c>
      <c r="F36" s="21"/>
      <c r="G36" s="21">
        <v>39994</v>
      </c>
      <c r="H36" s="293">
        <v>3.4683884842165185</v>
      </c>
      <c r="I36" s="293">
        <v>3.4683884842165185</v>
      </c>
      <c r="J36" s="293">
        <v>3.4683884842165185</v>
      </c>
    </row>
    <row r="37" spans="1:10" ht="14.25" customHeight="1">
      <c r="A37" s="21">
        <v>40086</v>
      </c>
      <c r="B37" s="229">
        <v>-7.613715980090987</v>
      </c>
      <c r="C37" s="293">
        <v>-0.28058039842994731</v>
      </c>
      <c r="D37" s="229">
        <f>VLOOKUP(A37,[1]unemp!$A$2:$C$266,2)</f>
        <v>15.700013470837447</v>
      </c>
      <c r="E37" s="230">
        <v>-1.2627007338638101</v>
      </c>
      <c r="F37" s="21"/>
      <c r="G37" s="21">
        <v>40086</v>
      </c>
      <c r="H37" s="293">
        <v>-0.28058039842994731</v>
      </c>
      <c r="I37" s="293">
        <v>-0.28058039842994731</v>
      </c>
      <c r="J37" s="293">
        <v>-0.28058039842994731</v>
      </c>
    </row>
    <row r="38" spans="1:10" ht="14.25" customHeight="1">
      <c r="A38" s="21">
        <v>40178</v>
      </c>
      <c r="B38" s="229">
        <v>-4.3203717322743387</v>
      </c>
      <c r="C38" s="293">
        <v>-0.33655687572895943</v>
      </c>
      <c r="D38" s="229">
        <f>VLOOKUP(A38,[1]unemp!$A$2:$C$266,2)</f>
        <v>16.247612098112754</v>
      </c>
      <c r="E38" s="230">
        <v>-0.69767034249272597</v>
      </c>
      <c r="F38" s="21"/>
      <c r="G38" s="21">
        <v>40178</v>
      </c>
      <c r="H38" s="293">
        <v>-0.33655687572895943</v>
      </c>
      <c r="I38" s="293">
        <v>-0.33655687572895943</v>
      </c>
      <c r="J38" s="293">
        <v>-0.33655687572895943</v>
      </c>
    </row>
    <row r="39" spans="1:10" ht="14.25" customHeight="1">
      <c r="A39" s="21">
        <v>40268</v>
      </c>
      <c r="B39" s="229">
        <v>-2.511213415242679</v>
      </c>
      <c r="C39" s="293">
        <v>0.63999509884550321</v>
      </c>
      <c r="D39" s="229">
        <f>VLOOKUP(A39,[1]unemp!$A$2:$C$266,2)</f>
        <v>17.017538562852806</v>
      </c>
      <c r="E39" s="230">
        <v>8.8295169154431905E-2</v>
      </c>
      <c r="F39" s="21"/>
      <c r="G39" s="21">
        <v>40268</v>
      </c>
      <c r="H39" s="293">
        <v>0.63999509884550321</v>
      </c>
      <c r="I39" s="293">
        <v>0.63999509884550321</v>
      </c>
      <c r="J39" s="293">
        <v>0.63999509884550321</v>
      </c>
    </row>
    <row r="40" spans="1:10" ht="14.25" customHeight="1">
      <c r="A40" s="21">
        <v>40359</v>
      </c>
      <c r="B40" s="229">
        <v>-2.939447085478136</v>
      </c>
      <c r="C40" s="293">
        <v>2.0169068936327363</v>
      </c>
      <c r="D40" s="229">
        <f>VLOOKUP(A40,[1]unemp!$A$2:$C$266,2)</f>
        <v>17.471147589560481</v>
      </c>
      <c r="E40" s="230">
        <v>0.55776214348708897</v>
      </c>
      <c r="F40" s="21"/>
      <c r="G40" s="21">
        <v>40359</v>
      </c>
      <c r="H40" s="293">
        <v>2.0169068936327363</v>
      </c>
      <c r="I40" s="293">
        <v>2.0169068936327363</v>
      </c>
      <c r="J40" s="293">
        <v>2.0169068936327363</v>
      </c>
    </row>
    <row r="41" spans="1:10" ht="14.25" customHeight="1">
      <c r="A41" s="21">
        <v>40451</v>
      </c>
      <c r="B41" s="229">
        <v>1.013481423639135</v>
      </c>
      <c r="C41" s="293">
        <v>3.4382928180565813</v>
      </c>
      <c r="D41" s="229">
        <f>VLOOKUP(A41,[1]unemp!$A$2:$C$266,2)</f>
        <v>17.822467154531747</v>
      </c>
      <c r="E41" s="230">
        <v>0.92596664290096997</v>
      </c>
      <c r="F41" s="21"/>
      <c r="G41" s="21">
        <v>40451</v>
      </c>
      <c r="H41" s="293">
        <v>3.4382928180565813</v>
      </c>
      <c r="I41" s="293">
        <v>3.4382928180565813</v>
      </c>
      <c r="J41" s="293">
        <v>3.4382928180565813</v>
      </c>
    </row>
    <row r="42" spans="1:10" ht="14.25" customHeight="1">
      <c r="A42" s="21">
        <v>40543</v>
      </c>
      <c r="B42" s="229">
        <v>-1.7422109868578985</v>
      </c>
      <c r="C42" s="293">
        <v>2.263464407623573</v>
      </c>
      <c r="D42" s="229">
        <f>VLOOKUP(A42,[1]unemp!$A$2:$C$266,2)</f>
        <v>18.033735238627166</v>
      </c>
      <c r="E42" s="230">
        <v>1.15633242387073</v>
      </c>
      <c r="F42" s="21"/>
      <c r="G42" s="21">
        <v>40543</v>
      </c>
      <c r="H42" s="293">
        <v>2.263464407623573</v>
      </c>
      <c r="I42" s="293">
        <v>2.263464407623573</v>
      </c>
      <c r="J42" s="293">
        <v>2.263464407623573</v>
      </c>
    </row>
    <row r="43" spans="1:10" ht="14.25" customHeight="1">
      <c r="A43" s="21">
        <v>40633</v>
      </c>
      <c r="B43" s="229">
        <v>-2.3465731362899902</v>
      </c>
      <c r="C43" s="293">
        <v>2.0821402429715334</v>
      </c>
      <c r="D43" s="229">
        <f>VLOOKUP(A43,[1]unemp!$A$2:$C$266,2)</f>
        <v>17.768909337948777</v>
      </c>
      <c r="E43" s="230">
        <v>0.91396571944666205</v>
      </c>
      <c r="F43" s="21"/>
      <c r="G43" s="21">
        <v>40633</v>
      </c>
      <c r="H43" s="293">
        <v>2.0821402429715334</v>
      </c>
      <c r="I43" s="293">
        <v>2.0821402429715334</v>
      </c>
      <c r="J43" s="293">
        <v>2.0821402429715334</v>
      </c>
    </row>
    <row r="44" spans="1:10" ht="14.25" customHeight="1">
      <c r="A44" s="21">
        <v>40724</v>
      </c>
      <c r="B44" s="229">
        <v>1.132389929248717</v>
      </c>
      <c r="C44" s="293">
        <v>1.8813782447935523</v>
      </c>
      <c r="D44" s="229">
        <f>VLOOKUP(A44,[1]unemp!$A$2:$C$266,2)</f>
        <v>17.870186063390573</v>
      </c>
      <c r="E44" s="230">
        <v>1.0421656241741499</v>
      </c>
      <c r="F44" s="21"/>
      <c r="G44" s="21">
        <v>40724</v>
      </c>
      <c r="H44" s="293">
        <v>1.8813782447935523</v>
      </c>
      <c r="I44" s="293">
        <v>1.8813782447935523</v>
      </c>
      <c r="J44" s="293">
        <v>1.8813782447935523</v>
      </c>
    </row>
    <row r="45" spans="1:10" ht="14.25" customHeight="1">
      <c r="A45" s="21">
        <v>40816</v>
      </c>
      <c r="B45" s="229">
        <v>2.1107123695230712E-2</v>
      </c>
      <c r="C45" s="293">
        <v>1.9485258562609289</v>
      </c>
      <c r="D45" s="229">
        <f>VLOOKUP(A45,[1]unemp!$A$2:$C$266,2)</f>
        <v>17.796638235779845</v>
      </c>
      <c r="E45" s="230">
        <v>1.0010708839029301</v>
      </c>
      <c r="F45" s="21"/>
      <c r="G45" s="21">
        <v>40816</v>
      </c>
      <c r="H45" s="293">
        <v>1.9485258562609289</v>
      </c>
      <c r="I45" s="293">
        <v>1.9485258562609289</v>
      </c>
      <c r="J45" s="293">
        <v>1.9485258562609289</v>
      </c>
    </row>
    <row r="46" spans="1:10" ht="14.25" customHeight="1">
      <c r="A46" s="21">
        <v>40908</v>
      </c>
      <c r="B46" s="229">
        <v>-0.22934433360873641</v>
      </c>
      <c r="C46" s="293">
        <v>3.4904656111675081</v>
      </c>
      <c r="D46" s="229">
        <f>VLOOKUP(A46,[1]unemp!$A$2:$C$266,2)</f>
        <v>17.814191796193963</v>
      </c>
      <c r="E46" s="230">
        <v>1.05763167810818</v>
      </c>
      <c r="F46" s="21"/>
      <c r="G46" s="21">
        <v>40908</v>
      </c>
      <c r="H46" s="293">
        <v>3.4904656111675081</v>
      </c>
      <c r="I46" s="293">
        <v>3.4904656111675081</v>
      </c>
      <c r="J46" s="293">
        <v>3.4904656111675081</v>
      </c>
    </row>
    <row r="47" spans="1:10" ht="14.25" customHeight="1">
      <c r="A47" s="21">
        <v>40999</v>
      </c>
      <c r="B47" s="229">
        <v>-1.2048722074554803</v>
      </c>
      <c r="C47" s="293">
        <v>3.5858524652855976</v>
      </c>
      <c r="D47" s="229">
        <f>VLOOKUP(A47,[1]unemp!$A$2:$C$266,2)</f>
        <v>18.23902174838415</v>
      </c>
      <c r="E47" s="230">
        <v>1.5290072061034501</v>
      </c>
      <c r="F47" s="21"/>
      <c r="G47" s="21">
        <v>40999</v>
      </c>
      <c r="H47" s="293">
        <v>3.5858524652855976</v>
      </c>
      <c r="I47" s="293">
        <v>3.5858524652855976</v>
      </c>
      <c r="J47" s="293">
        <v>3.5858524652855976</v>
      </c>
    </row>
    <row r="48" spans="1:10" ht="14.25" customHeight="1">
      <c r="A48" s="21">
        <v>41090</v>
      </c>
      <c r="B48" s="229">
        <v>-2.9945914921394916</v>
      </c>
      <c r="C48" s="293">
        <v>2.1212537292004043</v>
      </c>
      <c r="D48" s="229">
        <f>VLOOKUP(A48,[1]unemp!$A$2:$C$266,2)</f>
        <v>18.457329438886795</v>
      </c>
      <c r="E48" s="230">
        <v>1.80234070472</v>
      </c>
      <c r="F48" s="21"/>
      <c r="G48" s="21">
        <v>41090</v>
      </c>
      <c r="H48" s="293">
        <v>2.1212537292004043</v>
      </c>
      <c r="I48" s="293">
        <v>2.1212537292004043</v>
      </c>
      <c r="J48" s="293">
        <v>2.1212537292004043</v>
      </c>
    </row>
    <row r="49" spans="1:10" ht="14.25" customHeight="1">
      <c r="A49" s="21">
        <v>41182</v>
      </c>
      <c r="B49" s="229">
        <v>-1.8047831917015174</v>
      </c>
      <c r="C49" s="293">
        <v>0.92266626850106093</v>
      </c>
      <c r="D49" s="229">
        <f>VLOOKUP(A49,[1]unemp!$A$2:$C$266,2)</f>
        <v>19.396733635784773</v>
      </c>
      <c r="E49" s="230">
        <v>2.8061316720477301</v>
      </c>
      <c r="F49" s="21"/>
      <c r="G49" s="21">
        <v>41182</v>
      </c>
      <c r="H49" s="293">
        <v>0.92266626850106093</v>
      </c>
      <c r="I49" s="293">
        <v>0.92266626850106093</v>
      </c>
      <c r="J49" s="293">
        <v>0.92266626850106093</v>
      </c>
    </row>
    <row r="50" spans="1:10" ht="14.25" customHeight="1">
      <c r="A50" s="21">
        <v>41274</v>
      </c>
      <c r="B50" s="229">
        <v>-2.8823899790260725</v>
      </c>
      <c r="C50" s="293">
        <v>-1.1882587997532141</v>
      </c>
      <c r="D50" s="229">
        <f>VLOOKUP(A50,[1]unemp!$A$2:$C$266,2)</f>
        <v>20.045407025599296</v>
      </c>
      <c r="E50" s="230">
        <v>3.5293614309867798</v>
      </c>
      <c r="F50" s="21"/>
      <c r="G50" s="21">
        <v>41274</v>
      </c>
      <c r="H50" s="293">
        <v>-1.1882587997532141</v>
      </c>
      <c r="I50" s="293">
        <v>-1.1882587997532141</v>
      </c>
      <c r="J50" s="293">
        <v>-1.1882587997532141</v>
      </c>
    </row>
    <row r="51" spans="1:10" ht="14.25" customHeight="1">
      <c r="A51" s="21">
        <v>41364</v>
      </c>
      <c r="B51" s="229">
        <v>-1.1781758447468604</v>
      </c>
      <c r="C51" s="293">
        <v>-1.5941280272353424</v>
      </c>
      <c r="D51" s="229">
        <f>VLOOKUP(A51,[1]unemp!$A$2:$C$266,2)</f>
        <v>20.007090008163228</v>
      </c>
      <c r="E51" s="230">
        <v>3.5764667724815302</v>
      </c>
      <c r="F51" s="21"/>
      <c r="G51" s="21">
        <v>41364</v>
      </c>
      <c r="H51" s="293">
        <v>-1.5941280272353424</v>
      </c>
      <c r="I51" s="293">
        <v>-1.5941280272353424</v>
      </c>
      <c r="J51" s="293">
        <v>-1.5941280272353424</v>
      </c>
    </row>
    <row r="52" spans="1:10" ht="14.25" customHeight="1">
      <c r="A52" s="21">
        <v>41455</v>
      </c>
      <c r="B52" s="229">
        <v>7.5961415204247373E-2</v>
      </c>
      <c r="C52" s="293">
        <v>-0.13619033831960792</v>
      </c>
      <c r="D52" s="229">
        <f>VLOOKUP(A52,[1]unemp!$A$2:$C$266,2)</f>
        <v>20.091930313516063</v>
      </c>
      <c r="E52" s="230">
        <v>3.7581506432262501</v>
      </c>
      <c r="F52" s="21"/>
      <c r="G52" s="21">
        <v>41455</v>
      </c>
      <c r="H52" s="293">
        <v>-0.13619033831960792</v>
      </c>
      <c r="I52" s="293">
        <v>-0.13619033831960792</v>
      </c>
      <c r="J52" s="293">
        <v>-0.13619033831960792</v>
      </c>
    </row>
    <row r="53" spans="1:10" ht="14.25" customHeight="1">
      <c r="A53" s="21">
        <v>41547</v>
      </c>
      <c r="B53" s="229">
        <v>-0.75772440304913857</v>
      </c>
      <c r="C53" s="293">
        <v>-0.33567215663687477</v>
      </c>
      <c r="D53" s="229">
        <f>VLOOKUP(A53,[1]unemp!$A$2:$C$266,2)</f>
        <v>20.34368597591773</v>
      </c>
      <c r="E53" s="230">
        <v>4.1185832354644001</v>
      </c>
      <c r="F53" s="21"/>
      <c r="G53" s="21">
        <v>41547</v>
      </c>
      <c r="H53" s="293">
        <v>-0.33567215663687477</v>
      </c>
      <c r="I53" s="293">
        <v>-0.33567215663687477</v>
      </c>
      <c r="J53" s="293">
        <v>-0.33567215663687477</v>
      </c>
    </row>
    <row r="54" spans="1:10" ht="14.25" customHeight="1">
      <c r="A54" s="21">
        <v>41639</v>
      </c>
      <c r="B54" s="229">
        <v>-0.36963614954868262</v>
      </c>
      <c r="C54" s="293">
        <v>0.80127183753349129</v>
      </c>
      <c r="D54" s="229">
        <f>VLOOKUP(A54,[1]unemp!$A$2:$C$266,2)</f>
        <v>20.575633792381264</v>
      </c>
      <c r="E54" s="230">
        <v>4.4713031781670702</v>
      </c>
      <c r="F54" s="21"/>
      <c r="G54" s="21">
        <v>41639</v>
      </c>
      <c r="H54" s="293">
        <v>0.80127183753349129</v>
      </c>
      <c r="I54" s="293">
        <v>0.80127183753349129</v>
      </c>
      <c r="J54" s="293">
        <v>0.80127183753349129</v>
      </c>
    </row>
    <row r="55" spans="1:10" ht="14.25" customHeight="1">
      <c r="A55" s="21">
        <v>41729</v>
      </c>
      <c r="B55" s="229">
        <v>-1.0781897487394616</v>
      </c>
      <c r="C55" s="293">
        <v>0.3024998421784062</v>
      </c>
      <c r="D55" s="229">
        <f>VLOOKUP(A55,[1]unemp!$A$2:$C$266,2)</f>
        <v>20.720375686425157</v>
      </c>
      <c r="E55" s="230">
        <v>4.7490094834812604</v>
      </c>
      <c r="F55" s="21"/>
      <c r="G55" s="21">
        <v>41729</v>
      </c>
      <c r="H55" s="293">
        <v>0.3024998421784062</v>
      </c>
      <c r="I55" s="293">
        <v>0.3024998421784062</v>
      </c>
      <c r="J55" s="293">
        <v>0.3024998421784062</v>
      </c>
    </row>
    <row r="56" spans="1:10" ht="14.25" customHeight="1">
      <c r="A56" s="21">
        <v>41820</v>
      </c>
      <c r="B56" s="229">
        <v>-0.37078182194473186</v>
      </c>
      <c r="C56" s="293">
        <v>-0.99523758808408047</v>
      </c>
      <c r="D56" s="229">
        <f>VLOOKUP(A56,[1]unemp!$A$2:$C$266,2)</f>
        <v>19.75896996429692</v>
      </c>
      <c r="E56" s="230">
        <v>3.9326786941559302</v>
      </c>
      <c r="F56" s="21"/>
      <c r="G56" s="21">
        <v>41820</v>
      </c>
      <c r="H56" s="293">
        <v>-0.99523758808408047</v>
      </c>
      <c r="I56" s="293">
        <v>-0.99523758808408047</v>
      </c>
      <c r="J56" s="293">
        <v>-0.99523758808408047</v>
      </c>
    </row>
    <row r="57" spans="1:10" ht="14.25" customHeight="1">
      <c r="A57" s="21">
        <v>41912</v>
      </c>
      <c r="B57" s="229">
        <v>0.18597434456131623</v>
      </c>
      <c r="C57" s="293">
        <v>-0.89402284902550377</v>
      </c>
      <c r="D57" s="229">
        <f>VLOOKUP(A57,[1]unemp!$A$2:$C$266,2)</f>
        <v>18.929195433406449</v>
      </c>
      <c r="E57" s="230">
        <v>3.2598178937229201</v>
      </c>
      <c r="F57" s="21"/>
      <c r="G57" s="21">
        <v>41912</v>
      </c>
      <c r="H57" s="293">
        <v>-0.89402284902550377</v>
      </c>
      <c r="I57" s="293">
        <v>-0.89402284902550377</v>
      </c>
      <c r="J57" s="293">
        <v>-0.89402284902550377</v>
      </c>
    </row>
    <row r="58" spans="1:10" ht="14.25" customHeight="1">
      <c r="A58" s="21">
        <v>42004</v>
      </c>
      <c r="B58" s="229">
        <v>0.74835852896796951</v>
      </c>
      <c r="C58" s="293">
        <v>-1.49794183246469</v>
      </c>
      <c r="D58" s="229">
        <f>VLOOKUP(A58,[1]unemp!$A$2:$C$266,2)</f>
        <v>18.431590603837957</v>
      </c>
      <c r="E58" s="230">
        <v>2.9305365612408298</v>
      </c>
      <c r="F58" s="21"/>
      <c r="G58" s="21">
        <v>42004</v>
      </c>
      <c r="H58" s="293">
        <v>-1.49794183246469</v>
      </c>
      <c r="I58" s="293">
        <v>-1.49794183246469</v>
      </c>
      <c r="J58" s="293">
        <v>-1.49794183246469</v>
      </c>
    </row>
    <row r="59" spans="1:10" ht="14.25" customHeight="1">
      <c r="A59" s="21">
        <v>42094</v>
      </c>
      <c r="B59" s="229">
        <v>1.401207133152667</v>
      </c>
      <c r="C59" s="293">
        <v>-1.6046080166230041</v>
      </c>
      <c r="D59" s="229">
        <f>VLOOKUP(A59,[1]unemp!$A$2:$C$266,2)</f>
        <v>17.675800852047086</v>
      </c>
      <c r="E59" s="230">
        <v>2.3539206494237899</v>
      </c>
      <c r="F59" s="21"/>
      <c r="G59" s="21">
        <v>42094</v>
      </c>
      <c r="H59" s="293">
        <v>-1.6046080166230041</v>
      </c>
      <c r="I59" s="293">
        <v>-1.6046080166230041</v>
      </c>
      <c r="J59" s="293">
        <v>-1.6046080166230041</v>
      </c>
    </row>
    <row r="60" spans="1:10" ht="14.25" customHeight="1">
      <c r="A60" s="21">
        <v>42185</v>
      </c>
      <c r="B60" s="229">
        <v>1.8522390958709138</v>
      </c>
      <c r="C60" s="293">
        <v>-1.9168879288737202</v>
      </c>
      <c r="D60" s="229">
        <f>VLOOKUP(A60,[1]unemp!$A$2:$C$266,2)</f>
        <v>17.115445353087427</v>
      </c>
      <c r="E60" s="230">
        <v>1.98291268812146</v>
      </c>
      <c r="F60" s="21"/>
      <c r="G60" s="21">
        <v>42185</v>
      </c>
      <c r="H60" s="293">
        <v>-1.9168879288737202</v>
      </c>
      <c r="I60" s="293">
        <v>-1.9168879288737202</v>
      </c>
      <c r="J60" s="293">
        <v>-1.9168879288737202</v>
      </c>
    </row>
    <row r="61" spans="1:10" ht="14.25" customHeight="1">
      <c r="A61" s="21">
        <v>42277</v>
      </c>
      <c r="B61" s="229">
        <v>3.9435859255217309</v>
      </c>
      <c r="C61" s="293">
        <v>-1.9763381704152465</v>
      </c>
      <c r="D61" s="229">
        <f>VLOOKUP(A61,[1]unemp!$A$2:$C$266,2)</f>
        <v>16.711840793915869</v>
      </c>
      <c r="E61" s="230">
        <v>1.7780585622610701</v>
      </c>
      <c r="F61" s="21"/>
      <c r="G61" s="21">
        <v>42277</v>
      </c>
      <c r="H61" s="293">
        <v>-1.9763381704152465</v>
      </c>
      <c r="I61" s="293">
        <v>-1.9763381704152465</v>
      </c>
      <c r="J61" s="293">
        <v>-1.9763381704152465</v>
      </c>
    </row>
    <row r="62" spans="1:10" ht="14.25" customHeight="1">
      <c r="A62" s="21">
        <v>42369</v>
      </c>
      <c r="B62" s="229">
        <v>2.3104276376878516</v>
      </c>
      <c r="C62" s="293">
        <v>-2.2821843390586309</v>
      </c>
      <c r="D62" s="229">
        <f>VLOOKUP(A62,[1]unemp!$A$2:$C$266,2)</f>
        <v>16.247162421313476</v>
      </c>
      <c r="E62" s="230">
        <v>1.5206834000861</v>
      </c>
      <c r="F62" s="21"/>
      <c r="G62" s="21">
        <v>42369</v>
      </c>
      <c r="H62" s="293">
        <v>-2.2821843390586309</v>
      </c>
      <c r="I62" s="293">
        <v>-2.2821843390586309</v>
      </c>
      <c r="J62" s="293">
        <v>-2.2821843390586309</v>
      </c>
    </row>
    <row r="63" spans="1:10" ht="14.25" customHeight="1">
      <c r="A63" s="21">
        <v>42460</v>
      </c>
      <c r="B63" s="229">
        <v>3.2795887168851152</v>
      </c>
      <c r="C63" s="293">
        <v>-0.87373908172831705</v>
      </c>
      <c r="D63" s="229">
        <f>VLOOKUP(A63,[1]unemp!$A$2:$C$266,2)</f>
        <v>15.189113141939446</v>
      </c>
      <c r="E63" s="230">
        <v>0.67756886737604805</v>
      </c>
      <c r="F63" s="21"/>
      <c r="G63" s="21">
        <v>42460</v>
      </c>
      <c r="H63" s="293">
        <v>-0.87373908172831705</v>
      </c>
      <c r="I63" s="293">
        <v>-0.87373908172831705</v>
      </c>
      <c r="J63" s="293">
        <v>-0.87373908172831705</v>
      </c>
    </row>
    <row r="64" spans="1:10" ht="14.25" customHeight="1">
      <c r="A64" s="21">
        <v>42551</v>
      </c>
      <c r="B64" s="229">
        <v>3.0665060429969628</v>
      </c>
      <c r="C64" s="293">
        <v>-0.19383711145928828</v>
      </c>
      <c r="D64" s="229">
        <f>VLOOKUP(A64,[1]unemp!$A$2:$C$266,2)</f>
        <v>14.52084183802414</v>
      </c>
      <c r="E64" s="230">
        <v>0.23088177814524899</v>
      </c>
      <c r="F64" s="21"/>
      <c r="G64" s="21">
        <v>42551</v>
      </c>
      <c r="H64" s="293">
        <v>-0.19383711145928828</v>
      </c>
      <c r="I64" s="293">
        <v>-0.19383711145928828</v>
      </c>
      <c r="J64" s="293">
        <v>-0.19383711145928828</v>
      </c>
    </row>
    <row r="65" spans="1:10" ht="14.25" customHeight="1">
      <c r="A65" s="21">
        <v>42643</v>
      </c>
      <c r="B65" s="229">
        <v>3.574323815567368</v>
      </c>
      <c r="C65" s="293">
        <v>0.43816731632175276</v>
      </c>
      <c r="D65" s="229">
        <f>VLOOKUP(A65,[1]unemp!$A$2:$C$266,2)</f>
        <v>13.724619719031995</v>
      </c>
      <c r="E65" s="230">
        <v>-0.33811582911239202</v>
      </c>
      <c r="F65" s="21"/>
      <c r="G65" s="21">
        <v>42643</v>
      </c>
      <c r="H65" s="293">
        <v>0.43816731632175276</v>
      </c>
      <c r="I65" s="293">
        <v>0.43816731632175276</v>
      </c>
      <c r="J65" s="293">
        <v>0.43816731632175276</v>
      </c>
    </row>
    <row r="66" spans="1:10" ht="14.25" customHeight="1">
      <c r="A66" s="21">
        <v>42735</v>
      </c>
      <c r="B66" s="229">
        <v>3.9873547192121634</v>
      </c>
      <c r="C66" s="293">
        <v>1.1071854037444098</v>
      </c>
      <c r="D66" s="229">
        <f>VLOOKUP(A66,[1]unemp!$A$2:$C$266,2)</f>
        <v>13.151949161815939</v>
      </c>
      <c r="E66" s="230">
        <v>-0.678939983785672</v>
      </c>
      <c r="F66" s="21"/>
      <c r="G66" s="21">
        <v>42735</v>
      </c>
      <c r="H66" s="293">
        <v>1.1071854037444098</v>
      </c>
      <c r="I66" s="293">
        <v>1.1071854037444098</v>
      </c>
      <c r="J66" s="293">
        <v>1.1071854037444098</v>
      </c>
    </row>
    <row r="67" spans="1:10" ht="14.25" customHeight="1">
      <c r="A67" s="21">
        <v>42825</v>
      </c>
      <c r="B67" s="229">
        <v>3.0209334143764153</v>
      </c>
      <c r="C67" s="293">
        <v>0.83939530992257971</v>
      </c>
      <c r="D67" s="229">
        <f>VLOOKUP(A67,[1]unemp!$A$2:$C$266,2)</f>
        <v>12.408474148585846</v>
      </c>
      <c r="E67" s="230">
        <v>-1.1869515852733701</v>
      </c>
      <c r="F67" s="21"/>
      <c r="G67" s="21">
        <v>42825</v>
      </c>
      <c r="H67" s="293">
        <v>0.83939530992257971</v>
      </c>
      <c r="I67" s="293">
        <v>0.83939530992257971</v>
      </c>
      <c r="J67" s="293">
        <v>0.83939530992257971</v>
      </c>
    </row>
    <row r="68" spans="1:10" ht="14.25" customHeight="1">
      <c r="A68" s="21">
        <v>42916</v>
      </c>
      <c r="B68" s="229">
        <v>3.3901414600493069</v>
      </c>
      <c r="C68" s="293">
        <v>1.7238004938552933</v>
      </c>
      <c r="D68" s="229">
        <f>VLOOKUP(A68,[1]unemp!$A$2:$C$266,2)</f>
        <v>11.541942416095328</v>
      </c>
      <c r="E68" s="230">
        <v>-1.81538062083096</v>
      </c>
      <c r="F68" s="21"/>
      <c r="G68" s="21">
        <v>42916</v>
      </c>
      <c r="H68" s="293">
        <v>1.7238004938552933</v>
      </c>
      <c r="I68" s="293">
        <v>1.7238004938552933</v>
      </c>
      <c r="J68" s="293">
        <v>1.7238004938552933</v>
      </c>
    </row>
    <row r="69" spans="1:10" ht="14.25" customHeight="1">
      <c r="A69" s="21">
        <v>43008</v>
      </c>
      <c r="B69" s="229">
        <v>3.5717153805701969</v>
      </c>
      <c r="C69" s="293">
        <v>1.8781511318490089</v>
      </c>
      <c r="D69" s="229">
        <f>VLOOKUP(A69,[1]unemp!$A$2:$C$266,2)</f>
        <v>11.108354660609557</v>
      </c>
      <c r="E69" s="230">
        <v>-2.0091566401390701</v>
      </c>
      <c r="F69" s="21"/>
      <c r="G69" s="21">
        <v>43008</v>
      </c>
      <c r="H69" s="293">
        <v>1.8781511318490089</v>
      </c>
      <c r="I69" s="293">
        <v>1.8781511318490089</v>
      </c>
      <c r="J69" s="293">
        <v>1.8781511318490089</v>
      </c>
    </row>
    <row r="70" spans="1:10" ht="14.25" customHeight="1">
      <c r="A70" s="21">
        <v>43100</v>
      </c>
      <c r="B70" s="229">
        <v>2.5103533828245475</v>
      </c>
      <c r="C70" s="293">
        <v>2.8526205813892602</v>
      </c>
      <c r="D70" s="229">
        <f>VLOOKUP(A70,[1]unemp!$A$2:$C$266,2)</f>
        <v>10.334122696964837</v>
      </c>
      <c r="E70" s="230">
        <v>-2.5427254590823201</v>
      </c>
      <c r="F70" s="21"/>
      <c r="G70" s="21">
        <v>43100</v>
      </c>
      <c r="H70" s="293">
        <v>2.8526205813892602</v>
      </c>
      <c r="I70" s="293">
        <v>2.8526205813892602</v>
      </c>
      <c r="J70" s="293">
        <v>2.8526205813892602</v>
      </c>
    </row>
    <row r="71" spans="1:10" ht="14.25" customHeight="1">
      <c r="A71" s="21">
        <v>43190</v>
      </c>
      <c r="B71" s="229">
        <v>2.2466302999344094</v>
      </c>
      <c r="C71" s="293">
        <v>3.0508764767163967</v>
      </c>
      <c r="D71" s="229">
        <f>VLOOKUP(A71,[1]unemp!$A$2:$C$266,2)</f>
        <v>9.7159960626202988</v>
      </c>
      <c r="E71" s="230">
        <v>-2.9201148046569498</v>
      </c>
      <c r="F71" s="21"/>
      <c r="G71" s="21">
        <v>43190</v>
      </c>
      <c r="H71" s="293">
        <v>3.0508764767163967</v>
      </c>
      <c r="I71" s="293">
        <v>3.0508764767163967</v>
      </c>
      <c r="J71" s="293">
        <v>3.0508764767163967</v>
      </c>
    </row>
    <row r="72" spans="1:10" ht="14.25" customHeight="1">
      <c r="A72" s="21">
        <v>43281</v>
      </c>
      <c r="B72" s="229">
        <v>3.1954440371533082</v>
      </c>
      <c r="C72" s="293">
        <v>4.1054483670102542</v>
      </c>
      <c r="D72" s="229">
        <f>VLOOKUP(A72,[1]unemp!$A$2:$C$266,2)</f>
        <v>9.537429292499132</v>
      </c>
      <c r="E72" s="230">
        <v>-2.8585456973767598</v>
      </c>
      <c r="F72" s="21"/>
      <c r="G72" s="21">
        <v>43281</v>
      </c>
      <c r="H72" s="293">
        <v>4.1054483670102542</v>
      </c>
      <c r="I72" s="293">
        <v>4.1054483670102542</v>
      </c>
      <c r="J72" s="293">
        <v>4.1054483670102542</v>
      </c>
    </row>
    <row r="73" spans="1:10" ht="14.25" customHeight="1">
      <c r="A73" s="21">
        <v>43373</v>
      </c>
      <c r="B73" s="229">
        <v>3.0187317397612645</v>
      </c>
      <c r="C73" s="293">
        <v>4.5564374132871279</v>
      </c>
      <c r="D73" s="229">
        <f>VLOOKUP(A73,[1]unemp!$A$2:$C$266,2)</f>
        <v>8.741767372263384</v>
      </c>
      <c r="E73" s="230">
        <v>-3.4152319024244702</v>
      </c>
      <c r="F73" s="21"/>
      <c r="G73" s="21">
        <v>43373</v>
      </c>
      <c r="H73" s="293">
        <v>4.5564374132871279</v>
      </c>
      <c r="I73" s="293">
        <v>4.5564374132871279</v>
      </c>
      <c r="J73" s="293">
        <v>4.5564374132871279</v>
      </c>
    </row>
    <row r="74" spans="1:10" ht="14.25" customHeight="1">
      <c r="A74" s="21">
        <v>43465</v>
      </c>
      <c r="B74" s="229">
        <v>2.2246762643534908</v>
      </c>
      <c r="C74" s="293">
        <v>4.3974496686121682</v>
      </c>
      <c r="D74" s="229">
        <f>VLOOKUP(A74,[1]unemp!$A$2:$C$266,2)</f>
        <v>8.122957497622382</v>
      </c>
      <c r="E74" s="230">
        <v>-3.7966706331076701</v>
      </c>
      <c r="F74" s="21"/>
      <c r="G74" s="21">
        <v>43465</v>
      </c>
      <c r="H74" s="293">
        <v>4.3974496686121682</v>
      </c>
      <c r="I74" s="293">
        <v>4.3974496686121682</v>
      </c>
      <c r="J74" s="293">
        <v>4.3974496686121682</v>
      </c>
    </row>
    <row r="75" spans="1:10" ht="14.25" customHeight="1">
      <c r="A75" s="21">
        <v>43555</v>
      </c>
      <c r="B75" s="229">
        <v>4.0705329672531008</v>
      </c>
      <c r="C75" s="293">
        <v>4.5609377229903316</v>
      </c>
      <c r="D75" s="229">
        <f>VLOOKUP(A75,[1]unemp!$A$2:$C$266,2)</f>
        <v>7.8784356463696268</v>
      </c>
      <c r="E75" s="230">
        <v>-3.8057337113737102</v>
      </c>
      <c r="F75" s="21"/>
      <c r="G75" s="21">
        <v>43555</v>
      </c>
      <c r="H75" s="293">
        <v>4.5609377229903316</v>
      </c>
      <c r="I75" s="293">
        <v>4.5609377229903316</v>
      </c>
      <c r="J75" s="293">
        <v>4.5609377229903316</v>
      </c>
    </row>
    <row r="76" spans="1:10" ht="14.25" customHeight="1">
      <c r="A76" s="21">
        <v>43646</v>
      </c>
      <c r="B76" s="229">
        <v>2.4152267073920939</v>
      </c>
      <c r="C76" s="293">
        <v>3.5782051666062098</v>
      </c>
      <c r="D76" s="229">
        <f>VLOOKUP(A76,[1]unemp!$A$2:$C$266,2)</f>
        <v>7.9497838517455675</v>
      </c>
      <c r="E76" s="230">
        <v>-3.50099503689755</v>
      </c>
      <c r="F76" s="21"/>
      <c r="G76" s="21">
        <v>43646</v>
      </c>
      <c r="H76" s="293">
        <v>3.5782051666062098</v>
      </c>
      <c r="I76" s="293">
        <v>3.5782051666062098</v>
      </c>
      <c r="J76" s="293">
        <v>3.5782051666062098</v>
      </c>
    </row>
    <row r="77" spans="1:10" ht="14.25" customHeight="1">
      <c r="A77" s="21">
        <v>43738</v>
      </c>
      <c r="B77" s="229">
        <v>2.9208867078742315</v>
      </c>
      <c r="C77" s="293">
        <v>2.9502087381398918</v>
      </c>
      <c r="D77" s="229">
        <f>VLOOKUP(A77,[1]unemp!$A$2:$C$266,2)</f>
        <v>7.607520072909888</v>
      </c>
      <c r="E77" s="230">
        <v>-3.61194035408657</v>
      </c>
      <c r="F77" s="21"/>
      <c r="G77" s="21">
        <v>43738</v>
      </c>
      <c r="H77" s="293">
        <v>2.9502087381398918</v>
      </c>
      <c r="I77" s="293">
        <v>2.9502087381398918</v>
      </c>
      <c r="J77" s="293">
        <v>2.9502087381398918</v>
      </c>
    </row>
    <row r="78" spans="1:10" ht="14.25" customHeight="1">
      <c r="A78" s="21">
        <v>43830</v>
      </c>
      <c r="B78" s="229">
        <v>2.4684831745114195</v>
      </c>
      <c r="C78" s="293">
        <v>4.1832089500657466</v>
      </c>
      <c r="D78" s="229">
        <f>VLOOKUP(A78,[1]unemp!$A$2:$C$266,2)</f>
        <v>7.1668411358915645</v>
      </c>
      <c r="E78" s="230">
        <v>-3.8232365006773898</v>
      </c>
      <c r="F78" s="21"/>
      <c r="G78" s="21">
        <v>43830</v>
      </c>
      <c r="H78" s="293">
        <v>4.1832089500657466</v>
      </c>
      <c r="I78" s="293">
        <v>4.1832089500657466</v>
      </c>
      <c r="J78" s="293">
        <v>4.1832089500657466</v>
      </c>
    </row>
    <row r="79" spans="1:10" ht="14.25" customHeight="1">
      <c r="A79" s="231">
        <v>43921</v>
      </c>
      <c r="B79" s="232">
        <f>bdp!BF109*100</f>
        <v>0.60627414188978435</v>
      </c>
      <c r="C79" s="232">
        <f>$B$85+$B$86*E79+$B$87*B79</f>
        <v>4.4696295473713405</v>
      </c>
      <c r="D79" s="233">
        <f>nezaposlenost!V84</f>
        <v>8.3144990432344343</v>
      </c>
      <c r="E79" s="233">
        <v>-2.4478506602775001</v>
      </c>
      <c r="F79" s="21"/>
      <c r="G79" s="231">
        <v>43921</v>
      </c>
      <c r="H79" s="232">
        <v>1</v>
      </c>
      <c r="I79" s="232">
        <v>1</v>
      </c>
      <c r="J79" s="232">
        <v>1</v>
      </c>
    </row>
    <row r="80" spans="1:10" ht="14.25" customHeight="1">
      <c r="A80" s="231">
        <v>44012</v>
      </c>
      <c r="B80" s="232">
        <f>bdp!BF110*100</f>
        <v>-9.5604277334506058</v>
      </c>
      <c r="C80" s="232">
        <f>$B$85+$B$86*E80+$B$87*B80</f>
        <v>-8.4324318235811742</v>
      </c>
      <c r="D80" s="233">
        <f>nezaposlenost!V85</f>
        <v>12.613774987784069</v>
      </c>
      <c r="E80" s="233">
        <v>2.0779321032673201</v>
      </c>
      <c r="F80" s="21"/>
      <c r="G80" s="231">
        <v>44012</v>
      </c>
      <c r="H80" s="232">
        <v>1</v>
      </c>
      <c r="I80" s="232">
        <v>1</v>
      </c>
      <c r="J80" s="232">
        <v>1</v>
      </c>
    </row>
    <row r="81" spans="1:10" ht="14.25" customHeight="1">
      <c r="A81" s="231">
        <v>44104</v>
      </c>
      <c r="B81" s="232">
        <f>bdp!BF111*100</f>
        <v>-19.014317796041414</v>
      </c>
      <c r="C81" s="232">
        <f>$B$85+$B$86*E81+$B$87*B81</f>
        <v>-19.292988615415283</v>
      </c>
      <c r="D81" s="233">
        <f>nezaposlenost!V86</f>
        <v>15.500609898586351</v>
      </c>
      <c r="E81" s="233">
        <v>5.1905843763379798</v>
      </c>
      <c r="F81" s="21"/>
      <c r="G81" s="231">
        <v>44104</v>
      </c>
      <c r="H81" s="232">
        <v>1</v>
      </c>
      <c r="I81" s="232">
        <v>1</v>
      </c>
      <c r="J81" s="232">
        <v>1</v>
      </c>
    </row>
    <row r="82" spans="1:10" ht="14.25" customHeight="1">
      <c r="A82" s="231">
        <v>44196</v>
      </c>
      <c r="B82" s="232">
        <f>bdp!BF112*100</f>
        <v>-23.154432940285918</v>
      </c>
      <c r="C82" s="232">
        <f>$B$85+$B$86*E82+$B$87*B82</f>
        <v>-23.498434549745493</v>
      </c>
      <c r="D82" s="233">
        <f>nezaposlenost!V87</f>
        <v>16.107365973375572</v>
      </c>
      <c r="E82" s="233">
        <v>6.0229168967197104</v>
      </c>
      <c r="F82" s="21"/>
      <c r="G82" s="231">
        <v>44196</v>
      </c>
      <c r="H82" s="232">
        <v>1</v>
      </c>
      <c r="I82" s="232">
        <v>1</v>
      </c>
      <c r="J82" s="232">
        <v>1</v>
      </c>
    </row>
    <row r="83" spans="1:10" ht="14.25" customHeight="1"/>
    <row r="84" spans="1:10" ht="14.25" customHeight="1">
      <c r="A84" s="324"/>
      <c r="B84" s="109" t="s">
        <v>185</v>
      </c>
      <c r="C84" s="109" t="s">
        <v>186</v>
      </c>
      <c r="D84" s="109" t="s">
        <v>187</v>
      </c>
      <c r="E84" s="109" t="s">
        <v>188</v>
      </c>
      <c r="F84" s="109"/>
    </row>
    <row r="85" spans="1:10" ht="14.25" customHeight="1">
      <c r="A85" s="109" t="s">
        <v>192</v>
      </c>
      <c r="B85" s="323">
        <v>1.4406000000000001</v>
      </c>
      <c r="C85" s="323">
        <v>0.59689999999999999</v>
      </c>
      <c r="D85" s="323">
        <v>2.4129999999999998</v>
      </c>
      <c r="E85" s="323">
        <v>1.9599999999999999E-2</v>
      </c>
      <c r="F85" s="323" t="s">
        <v>799</v>
      </c>
    </row>
    <row r="86" spans="1:10" ht="14.25" customHeight="1">
      <c r="A86" s="109" t="s">
        <v>617</v>
      </c>
      <c r="B86" s="323">
        <v>-1.0375000000000001</v>
      </c>
      <c r="C86" s="323">
        <v>0.2293</v>
      </c>
      <c r="D86" s="323">
        <v>-4.5250000000000004</v>
      </c>
      <c r="E86" s="323">
        <v>3.8600000000000003E-5</v>
      </c>
      <c r="F86" s="323" t="s">
        <v>194</v>
      </c>
    </row>
    <row r="87" spans="1:10" ht="14.25" customHeight="1">
      <c r="A87" s="109" t="s">
        <v>11</v>
      </c>
      <c r="B87" s="323">
        <v>0.80720000000000003</v>
      </c>
      <c r="C87" s="323">
        <v>0.125</v>
      </c>
      <c r="D87" s="323">
        <v>6.4550000000000001</v>
      </c>
      <c r="E87" s="323">
        <v>4.6399999999999999E-8</v>
      </c>
      <c r="F87" s="323" t="s">
        <v>194</v>
      </c>
    </row>
    <row r="88" spans="1:10" ht="14.25" customHeight="1"/>
    <row r="89" spans="1:10" ht="14.25" customHeight="1">
      <c r="A89" s="324"/>
      <c r="B89" s="109" t="s">
        <v>185</v>
      </c>
      <c r="C89" s="109" t="s">
        <v>186</v>
      </c>
      <c r="D89" s="109" t="s">
        <v>187</v>
      </c>
      <c r="E89" s="109" t="s">
        <v>188</v>
      </c>
      <c r="F89" s="109"/>
    </row>
    <row r="90" spans="1:10" ht="14.25" customHeight="1">
      <c r="A90" s="109" t="s">
        <v>192</v>
      </c>
      <c r="B90" s="323">
        <v>-1.3965000000000001</v>
      </c>
      <c r="C90" s="323">
        <v>0.54034000000000004</v>
      </c>
      <c r="D90" s="323">
        <v>-2.5840000000000001</v>
      </c>
      <c r="E90" s="323">
        <v>1.3100000000000001E-2</v>
      </c>
      <c r="F90" s="323" t="s">
        <v>799</v>
      </c>
    </row>
    <row r="91" spans="1:10" ht="14.25" customHeight="1">
      <c r="A91" s="109" t="s">
        <v>956</v>
      </c>
      <c r="B91" s="323">
        <v>1.1231199999999999</v>
      </c>
      <c r="C91" s="323">
        <v>0.15082999999999999</v>
      </c>
      <c r="D91" s="323">
        <v>7.4459999999999997</v>
      </c>
      <c r="E91" s="323">
        <v>2.23E-9</v>
      </c>
      <c r="F91" s="323" t="s">
        <v>194</v>
      </c>
    </row>
    <row r="92" spans="1:10" ht="14.25" customHeight="1">
      <c r="A92" s="109" t="s">
        <v>11</v>
      </c>
      <c r="B92" s="323">
        <v>1.35937</v>
      </c>
      <c r="C92" s="323">
        <v>9.6280000000000004E-2</v>
      </c>
      <c r="D92" s="323">
        <v>14.119</v>
      </c>
      <c r="E92" s="323" t="s">
        <v>957</v>
      </c>
      <c r="F92" s="323" t="s">
        <v>194</v>
      </c>
    </row>
    <row r="93" spans="1:10" ht="14.25" customHeight="1"/>
    <row r="94" spans="1:10" ht="14.25" customHeight="1"/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H1:J1"/>
  </mergeCells>
  <pageMargins left="0.7" right="0.7" top="0.75" bottom="0.75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G1000"/>
  <sheetViews>
    <sheetView topLeftCell="A61" workbookViewId="0">
      <selection activeCell="C79" sqref="C79"/>
    </sheetView>
  </sheetViews>
  <sheetFormatPr defaultColWidth="12.59765625" defaultRowHeight="15" customHeight="1"/>
  <cols>
    <col min="1" max="1" width="16.09765625" customWidth="1"/>
    <col min="2" max="2" width="14.59765625" customWidth="1"/>
    <col min="3" max="9" width="7.59765625" customWidth="1"/>
    <col min="10" max="10" width="8.09765625" customWidth="1"/>
    <col min="11" max="11" width="10.3984375" customWidth="1"/>
    <col min="12" max="12" width="10.5" customWidth="1"/>
    <col min="13" max="13" width="10.59765625" customWidth="1"/>
    <col min="14" max="24" width="7.59765625" customWidth="1"/>
    <col min="25" max="25" width="8.8984375" customWidth="1"/>
    <col min="26" max="28" width="7.8984375" customWidth="1"/>
    <col min="29" max="163" width="7.59765625" customWidth="1"/>
  </cols>
  <sheetData>
    <row r="1" spans="1:36" ht="14.25" customHeight="1">
      <c r="A1" s="365" t="s">
        <v>5</v>
      </c>
      <c r="B1" s="357"/>
      <c r="C1" s="357"/>
      <c r="D1" s="357"/>
      <c r="E1" s="357"/>
      <c r="F1" s="358"/>
      <c r="G1" s="366" t="s">
        <v>6</v>
      </c>
      <c r="H1" s="357"/>
      <c r="I1" s="358"/>
      <c r="J1" s="367" t="s">
        <v>7</v>
      </c>
      <c r="K1" s="357"/>
      <c r="L1" s="358"/>
    </row>
    <row r="2" spans="1:36" ht="14.25" customHeight="1">
      <c r="A2" s="236" t="s">
        <v>9</v>
      </c>
      <c r="B2" s="236" t="s">
        <v>33</v>
      </c>
      <c r="C2" s="237" t="s">
        <v>716</v>
      </c>
      <c r="D2" s="236" t="s">
        <v>717</v>
      </c>
      <c r="E2" s="236" t="s">
        <v>718</v>
      </c>
      <c r="F2" s="236" t="s">
        <v>719</v>
      </c>
      <c r="G2" s="237" t="s">
        <v>720</v>
      </c>
      <c r="H2" s="236" t="s">
        <v>721</v>
      </c>
      <c r="I2" s="236" t="s">
        <v>722</v>
      </c>
      <c r="J2" s="237" t="s">
        <v>723</v>
      </c>
      <c r="K2" s="236" t="s">
        <v>724</v>
      </c>
      <c r="L2" s="236" t="s">
        <v>725</v>
      </c>
      <c r="M2" s="34" t="s">
        <v>726</v>
      </c>
      <c r="Y2" s="2" t="s">
        <v>9</v>
      </c>
      <c r="Z2" s="2" t="s">
        <v>33</v>
      </c>
      <c r="AA2" s="2" t="s">
        <v>716</v>
      </c>
      <c r="AB2" s="2" t="s">
        <v>717</v>
      </c>
      <c r="AC2" s="2" t="s">
        <v>718</v>
      </c>
      <c r="AD2" s="2" t="s">
        <v>719</v>
      </c>
      <c r="AE2" s="2" t="s">
        <v>720</v>
      </c>
      <c r="AF2" s="2" t="s">
        <v>721</v>
      </c>
      <c r="AG2" s="2" t="s">
        <v>722</v>
      </c>
      <c r="AH2" s="2" t="s">
        <v>723</v>
      </c>
      <c r="AI2" s="2" t="s">
        <v>724</v>
      </c>
      <c r="AJ2" s="2" t="s">
        <v>725</v>
      </c>
    </row>
    <row r="3" spans="1:36" ht="14.25" customHeight="1">
      <c r="A3" s="21">
        <v>36981</v>
      </c>
      <c r="B3" s="37">
        <v>0.36243369836170802</v>
      </c>
      <c r="C3" s="238">
        <v>0.72838370934229502</v>
      </c>
      <c r="D3" s="2">
        <v>2</v>
      </c>
      <c r="E3" s="229">
        <v>21.9192374908319</v>
      </c>
      <c r="F3" s="230">
        <v>0.88571488722695202</v>
      </c>
      <c r="G3" s="238">
        <v>0.72838370934229502</v>
      </c>
      <c r="H3" s="229">
        <v>21.9192374908319</v>
      </c>
      <c r="I3" s="230">
        <v>0.88571488722695202</v>
      </c>
      <c r="J3" s="238">
        <v>0.72838370934229502</v>
      </c>
      <c r="K3" s="229">
        <v>21.9192374908319</v>
      </c>
      <c r="L3" s="230">
        <v>0.88571488722695202</v>
      </c>
      <c r="M3" s="6">
        <f t="shared" ref="M3:M82" si="0">E3-F3</f>
        <v>21.033522603604947</v>
      </c>
      <c r="Y3" s="21">
        <v>36981</v>
      </c>
      <c r="Z3" s="2">
        <v>0.36243369836170802</v>
      </c>
      <c r="AA3" s="2">
        <v>0.72838370934229502</v>
      </c>
      <c r="AB3" s="2">
        <v>2</v>
      </c>
      <c r="AC3" s="2">
        <v>21.9192374908319</v>
      </c>
      <c r="AD3" s="2">
        <v>0.885714887226555</v>
      </c>
      <c r="AE3" s="2">
        <v>0.72838370934229502</v>
      </c>
      <c r="AF3" s="2">
        <v>21.9192374908319</v>
      </c>
      <c r="AG3" s="2">
        <v>0.88923582044050498</v>
      </c>
      <c r="AH3" s="2">
        <v>0.72838370934229502</v>
      </c>
      <c r="AI3" s="2">
        <v>21.9192374908319</v>
      </c>
      <c r="AJ3" s="2">
        <v>0.89218878887329001</v>
      </c>
    </row>
    <row r="4" spans="1:36" ht="14.25" customHeight="1">
      <c r="A4" s="21">
        <v>37072</v>
      </c>
      <c r="B4" s="37">
        <v>7.6268415343910796</v>
      </c>
      <c r="C4" s="238">
        <v>4.2441318401800201</v>
      </c>
      <c r="D4" s="2">
        <v>2.7</v>
      </c>
      <c r="E4" s="229">
        <v>21.853602628401099</v>
      </c>
      <c r="F4" s="230">
        <v>0.99951859965371004</v>
      </c>
      <c r="G4" s="238">
        <v>4.2441318401800201</v>
      </c>
      <c r="H4" s="229">
        <v>21.853602628401099</v>
      </c>
      <c r="I4" s="230">
        <v>0.99951859965371004</v>
      </c>
      <c r="J4" s="238">
        <v>4.2441318401800201</v>
      </c>
      <c r="K4" s="229">
        <v>21.853602628401099</v>
      </c>
      <c r="L4" s="230">
        <v>0.99951859965371004</v>
      </c>
      <c r="M4" s="6">
        <f t="shared" si="0"/>
        <v>20.854084028747387</v>
      </c>
      <c r="Y4" s="21">
        <v>37072</v>
      </c>
      <c r="Z4" s="2">
        <v>7.6268415343910796</v>
      </c>
      <c r="AA4" s="2">
        <v>4.2441318401800201</v>
      </c>
      <c r="AB4" s="2">
        <v>2.7</v>
      </c>
      <c r="AC4" s="2">
        <v>21.853602628401099</v>
      </c>
      <c r="AD4" s="2">
        <v>0.999518599653346</v>
      </c>
      <c r="AE4" s="2">
        <v>4.2441318401800201</v>
      </c>
      <c r="AF4" s="2">
        <v>21.853602628401099</v>
      </c>
      <c r="AG4" s="2">
        <v>1.0024466820832501</v>
      </c>
      <c r="AH4" s="2">
        <v>4.2441318401800201</v>
      </c>
      <c r="AI4" s="2">
        <v>21.853602628401099</v>
      </c>
      <c r="AJ4" s="2">
        <v>1.00490266245653</v>
      </c>
    </row>
    <row r="5" spans="1:36" ht="14.25" customHeight="1">
      <c r="A5" s="21">
        <v>37164</v>
      </c>
      <c r="B5" s="37">
        <v>2.2726238354733099</v>
      </c>
      <c r="C5" s="238">
        <v>0.86364844563415799</v>
      </c>
      <c r="D5" s="2">
        <v>2.1</v>
      </c>
      <c r="E5" s="229">
        <v>22.1288930092913</v>
      </c>
      <c r="F5" s="230">
        <v>1.4542121268058401</v>
      </c>
      <c r="G5" s="238">
        <v>0.86364844563415799</v>
      </c>
      <c r="H5" s="229">
        <v>22.1288930092913</v>
      </c>
      <c r="I5" s="230">
        <v>1.4542121268058401</v>
      </c>
      <c r="J5" s="238">
        <v>0.86364844563415799</v>
      </c>
      <c r="K5" s="229">
        <v>22.1288930092913</v>
      </c>
      <c r="L5" s="230">
        <v>1.4542121268058401</v>
      </c>
      <c r="M5" s="6">
        <f t="shared" si="0"/>
        <v>20.674680882485461</v>
      </c>
      <c r="Y5" s="21">
        <v>37164</v>
      </c>
      <c r="Z5" s="2">
        <v>2.2726238354733099</v>
      </c>
      <c r="AA5" s="2">
        <v>0.86364844563415799</v>
      </c>
      <c r="AB5" s="2">
        <v>2.1</v>
      </c>
      <c r="AC5" s="2">
        <v>22.1288930092913</v>
      </c>
      <c r="AD5" s="2">
        <v>1.45421212680565</v>
      </c>
      <c r="AE5" s="2">
        <v>0.86364844563415799</v>
      </c>
      <c r="AF5" s="2">
        <v>22.1288930092913</v>
      </c>
      <c r="AG5" s="2">
        <v>1.45654721761419</v>
      </c>
      <c r="AH5" s="2">
        <v>0.86364844563415799</v>
      </c>
      <c r="AI5" s="2">
        <v>22.1288930092913</v>
      </c>
      <c r="AJ5" s="2">
        <v>1.4585060918092201</v>
      </c>
    </row>
    <row r="6" spans="1:36" ht="14.25" customHeight="1">
      <c r="A6" s="21">
        <v>37256</v>
      </c>
      <c r="B6" s="37">
        <v>-0.35537866731075701</v>
      </c>
      <c r="C6" s="238">
        <v>-0.90744788777179497</v>
      </c>
      <c r="D6" s="2">
        <v>1.9</v>
      </c>
      <c r="E6" s="229">
        <v>22.423856018141102</v>
      </c>
      <c r="F6" s="230">
        <v>1.9284674439827201</v>
      </c>
      <c r="G6" s="238">
        <v>-0.90744788777179497</v>
      </c>
      <c r="H6" s="229">
        <v>22.423856018141102</v>
      </c>
      <c r="I6" s="230">
        <v>1.9284674439827201</v>
      </c>
      <c r="J6" s="238">
        <v>-0.90744788777179497</v>
      </c>
      <c r="K6" s="229">
        <v>22.423856018141102</v>
      </c>
      <c r="L6" s="230">
        <v>1.9284674439827201</v>
      </c>
      <c r="M6" s="6">
        <f t="shared" si="0"/>
        <v>20.495388574158383</v>
      </c>
      <c r="Y6" s="21">
        <v>37256</v>
      </c>
      <c r="Z6" s="2">
        <v>-0.35537866731075701</v>
      </c>
      <c r="AA6" s="2">
        <v>-0.90744788777179497</v>
      </c>
      <c r="AB6" s="2">
        <v>1.9</v>
      </c>
      <c r="AC6" s="2">
        <v>22.423856018141102</v>
      </c>
      <c r="AD6" s="2">
        <v>1.9284674439825999</v>
      </c>
      <c r="AE6" s="2">
        <v>-0.90744788777179497</v>
      </c>
      <c r="AF6" s="2">
        <v>22.423856018141102</v>
      </c>
      <c r="AG6" s="2">
        <v>1.9302091443717999</v>
      </c>
      <c r="AH6" s="2">
        <v>-0.90744788777179497</v>
      </c>
      <c r="AI6" s="2">
        <v>22.423856018141102</v>
      </c>
      <c r="AJ6" s="2">
        <v>1.9316705779118899</v>
      </c>
    </row>
    <row r="7" spans="1:36" ht="14.25" customHeight="1">
      <c r="A7" s="21">
        <v>37346</v>
      </c>
      <c r="B7" s="37">
        <v>0.89103299326009899</v>
      </c>
      <c r="C7" s="238">
        <v>2.1413878733764098</v>
      </c>
      <c r="D7" s="2">
        <v>2.4</v>
      </c>
      <c r="E7" s="229">
        <v>22.8745743631201</v>
      </c>
      <c r="F7" s="230">
        <v>2.55823368152936</v>
      </c>
      <c r="G7" s="238">
        <v>2.1413878733764098</v>
      </c>
      <c r="H7" s="229">
        <v>22.8745743631201</v>
      </c>
      <c r="I7" s="230">
        <v>2.55823368152936</v>
      </c>
      <c r="J7" s="238">
        <v>2.1413878733764098</v>
      </c>
      <c r="K7" s="229">
        <v>22.8745743631201</v>
      </c>
      <c r="L7" s="230">
        <v>2.55823368152936</v>
      </c>
      <c r="M7" s="6">
        <f t="shared" si="0"/>
        <v>20.316340681590741</v>
      </c>
      <c r="Y7" s="21">
        <v>37346</v>
      </c>
      <c r="Z7" s="2">
        <v>0.89103299326009899</v>
      </c>
      <c r="AA7" s="2">
        <v>2.1413878733764098</v>
      </c>
      <c r="AB7" s="2">
        <v>2.4</v>
      </c>
      <c r="AC7" s="2">
        <v>22.8745743631201</v>
      </c>
      <c r="AD7" s="2">
        <v>2.5582336815292099</v>
      </c>
      <c r="AE7" s="2">
        <v>2.1413878733764098</v>
      </c>
      <c r="AF7" s="2">
        <v>22.8745743631201</v>
      </c>
      <c r="AG7" s="2">
        <v>2.5593812413368502</v>
      </c>
      <c r="AH7" s="2">
        <v>2.1413878733764098</v>
      </c>
      <c r="AI7" s="2">
        <v>22.8745743631201</v>
      </c>
      <c r="AJ7" s="2">
        <v>2.5603446050323999</v>
      </c>
    </row>
    <row r="8" spans="1:36" ht="14.25" customHeight="1">
      <c r="A8" s="21">
        <v>37437</v>
      </c>
      <c r="B8" s="37">
        <v>0.74803379176937601</v>
      </c>
      <c r="C8" s="238">
        <v>-0.21287231020932201</v>
      </c>
      <c r="D8" s="2">
        <v>1.7</v>
      </c>
      <c r="E8" s="229">
        <v>22.634245467963801</v>
      </c>
      <c r="F8" s="230">
        <v>2.4964975466587802</v>
      </c>
      <c r="G8" s="238">
        <v>-0.21287231020932201</v>
      </c>
      <c r="H8" s="229">
        <v>22.634245467963801</v>
      </c>
      <c r="I8" s="230">
        <v>2.4964975466587802</v>
      </c>
      <c r="J8" s="238">
        <v>-0.21287231020932201</v>
      </c>
      <c r="K8" s="229">
        <v>22.634245467963801</v>
      </c>
      <c r="L8" s="230">
        <v>2.4964975466587802</v>
      </c>
      <c r="M8" s="6">
        <f t="shared" si="0"/>
        <v>20.137747921305021</v>
      </c>
      <c r="Y8" s="21">
        <v>37437</v>
      </c>
      <c r="Z8" s="2">
        <v>0.74803379176937601</v>
      </c>
      <c r="AA8" s="2">
        <v>-0.21287231020932201</v>
      </c>
      <c r="AB8" s="2">
        <v>1.7</v>
      </c>
      <c r="AC8" s="2">
        <v>22.634245467963801</v>
      </c>
      <c r="AD8" s="2">
        <v>2.49649754665873</v>
      </c>
      <c r="AE8" s="2">
        <v>-0.21287231020932201</v>
      </c>
      <c r="AF8" s="2">
        <v>22.634245467963801</v>
      </c>
      <c r="AG8" s="2">
        <v>2.4970497946902901</v>
      </c>
      <c r="AH8" s="2">
        <v>-0.21287231020932201</v>
      </c>
      <c r="AI8" s="2">
        <v>22.634245467963801</v>
      </c>
      <c r="AJ8" s="2">
        <v>2.4975141061814399</v>
      </c>
    </row>
    <row r="9" spans="1:36" ht="14.25" customHeight="1">
      <c r="A9" s="21">
        <v>37529</v>
      </c>
      <c r="B9" s="37">
        <v>2.8500484098389798</v>
      </c>
      <c r="C9" s="238">
        <v>1.1560440015015501</v>
      </c>
      <c r="D9" s="2">
        <v>1.9</v>
      </c>
      <c r="E9" s="229">
        <v>21.999101980451801</v>
      </c>
      <c r="F9" s="230">
        <v>2.0391786412810902</v>
      </c>
      <c r="G9" s="238">
        <v>1.1560440015015501</v>
      </c>
      <c r="H9" s="229">
        <v>21.999101980451801</v>
      </c>
      <c r="I9" s="230">
        <v>2.0391786412810902</v>
      </c>
      <c r="J9" s="238">
        <v>1.1560440015015501</v>
      </c>
      <c r="K9" s="229">
        <v>21.999101980451801</v>
      </c>
      <c r="L9" s="230">
        <v>2.0391786412810902</v>
      </c>
      <c r="M9" s="6">
        <f t="shared" si="0"/>
        <v>19.959923339170711</v>
      </c>
      <c r="Y9" s="21">
        <v>37529</v>
      </c>
      <c r="Z9" s="2">
        <v>2.8500484098389798</v>
      </c>
      <c r="AA9" s="2">
        <v>1.1560440015015501</v>
      </c>
      <c r="AB9" s="2">
        <v>1.9</v>
      </c>
      <c r="AC9" s="2">
        <v>21.999101980451801</v>
      </c>
      <c r="AD9" s="2">
        <v>2.0391786412811399</v>
      </c>
      <c r="AE9" s="2">
        <v>1.1560440015015501</v>
      </c>
      <c r="AF9" s="2">
        <v>21.999101980451801</v>
      </c>
      <c r="AG9" s="2">
        <v>2.0391339394074901</v>
      </c>
      <c r="AH9" s="2">
        <v>1.1560440015015501</v>
      </c>
      <c r="AI9" s="2">
        <v>21.999101980451801</v>
      </c>
      <c r="AJ9" s="2">
        <v>2.0390978246295699</v>
      </c>
    </row>
    <row r="10" spans="1:36" ht="14.25" customHeight="1">
      <c r="A10" s="21">
        <v>37621</v>
      </c>
      <c r="B10" s="37">
        <v>2.3347163500698098</v>
      </c>
      <c r="C10" s="238">
        <v>1.6039384878187</v>
      </c>
      <c r="D10" s="2">
        <v>2.2000000000000002</v>
      </c>
      <c r="E10" s="229">
        <v>20.946958928266501</v>
      </c>
      <c r="F10" s="230">
        <v>1.1636790873073399</v>
      </c>
      <c r="G10" s="238">
        <v>1.6039384878187</v>
      </c>
      <c r="H10" s="229">
        <v>20.946958928266501</v>
      </c>
      <c r="I10" s="230">
        <v>1.1636790873073399</v>
      </c>
      <c r="J10" s="238">
        <v>1.6039384878187</v>
      </c>
      <c r="K10" s="229">
        <v>20.946958928266501</v>
      </c>
      <c r="L10" s="230">
        <v>1.1636790873073399</v>
      </c>
      <c r="M10" s="6">
        <f t="shared" si="0"/>
        <v>19.78327984095916</v>
      </c>
      <c r="Y10" s="21">
        <v>37621</v>
      </c>
      <c r="Z10" s="2">
        <v>2.3347163500698098</v>
      </c>
      <c r="AA10" s="2">
        <v>1.6039384878187</v>
      </c>
      <c r="AB10" s="2">
        <v>2.2000000000000002</v>
      </c>
      <c r="AC10" s="2">
        <v>20.946958928266501</v>
      </c>
      <c r="AD10" s="2">
        <v>1.1636790873074701</v>
      </c>
      <c r="AE10" s="2">
        <v>1.6039384878187</v>
      </c>
      <c r="AF10" s="2">
        <v>20.946958928266501</v>
      </c>
      <c r="AG10" s="2">
        <v>1.1630353083748599</v>
      </c>
      <c r="AH10" s="2">
        <v>1.6039384878187</v>
      </c>
      <c r="AI10" s="2">
        <v>20.946958928266501</v>
      </c>
      <c r="AJ10" s="2">
        <v>1.1624969829859</v>
      </c>
    </row>
    <row r="11" spans="1:36" ht="14.25" customHeight="1">
      <c r="A11" s="21">
        <v>37711</v>
      </c>
      <c r="B11" s="37">
        <v>2.5053182261787899</v>
      </c>
      <c r="C11" s="238">
        <v>-0.35434186559322201</v>
      </c>
      <c r="D11" s="2">
        <v>2.2999999999999998</v>
      </c>
      <c r="E11" s="229">
        <v>19.806284273233899</v>
      </c>
      <c r="F11" s="230">
        <v>0.197972373646425</v>
      </c>
      <c r="G11" s="238">
        <v>-0.35434186559322201</v>
      </c>
      <c r="H11" s="229">
        <v>19.806284273233899</v>
      </c>
      <c r="I11" s="230">
        <v>0.197972373646425</v>
      </c>
      <c r="J11" s="238">
        <v>-0.35434186559322201</v>
      </c>
      <c r="K11" s="229">
        <v>19.806284273233899</v>
      </c>
      <c r="L11" s="230">
        <v>0.197972373646425</v>
      </c>
      <c r="M11" s="6">
        <f t="shared" si="0"/>
        <v>19.608311899587473</v>
      </c>
      <c r="Y11" s="21">
        <v>37711</v>
      </c>
      <c r="Z11" s="2">
        <v>2.5053182261787899</v>
      </c>
      <c r="AA11" s="2">
        <v>-0.35434186559322201</v>
      </c>
      <c r="AB11" s="2">
        <v>2.2999999999999998</v>
      </c>
      <c r="AC11" s="2">
        <v>19.806284273233899</v>
      </c>
      <c r="AD11" s="2">
        <v>0.19797237364654399</v>
      </c>
      <c r="AE11" s="2">
        <v>-0.35434186559322201</v>
      </c>
      <c r="AF11" s="2">
        <v>19.806284273233899</v>
      </c>
      <c r="AG11" s="2">
        <v>0.19672690326476799</v>
      </c>
      <c r="AH11" s="2">
        <v>-0.35434186559322201</v>
      </c>
      <c r="AI11" s="2">
        <v>19.806284273233899</v>
      </c>
      <c r="AJ11" s="2">
        <v>0.195684174090138</v>
      </c>
    </row>
    <row r="12" spans="1:36" ht="14.25" customHeight="1">
      <c r="A12" s="21">
        <v>37802</v>
      </c>
      <c r="B12" s="37">
        <v>-1.57659603853775</v>
      </c>
      <c r="C12" s="238">
        <v>0.60645393470624098</v>
      </c>
      <c r="D12" s="2">
        <v>1.8</v>
      </c>
      <c r="E12" s="229">
        <v>19.207453565613999</v>
      </c>
      <c r="F12" s="230">
        <v>-0.228106969522098</v>
      </c>
      <c r="G12" s="238">
        <v>0.60645393470624098</v>
      </c>
      <c r="H12" s="229">
        <v>19.207453565613999</v>
      </c>
      <c r="I12" s="230">
        <v>-0.228106969522098</v>
      </c>
      <c r="J12" s="238">
        <v>0.60645393470624098</v>
      </c>
      <c r="K12" s="229">
        <v>19.207453565613999</v>
      </c>
      <c r="L12" s="230">
        <v>-0.228106969522098</v>
      </c>
      <c r="M12" s="6">
        <f t="shared" si="0"/>
        <v>19.435560535136098</v>
      </c>
      <c r="Y12" s="21">
        <v>37802</v>
      </c>
      <c r="Z12" s="2">
        <v>-1.57659603853775</v>
      </c>
      <c r="AA12" s="2">
        <v>0.60645393470624098</v>
      </c>
      <c r="AB12" s="2">
        <v>1.8</v>
      </c>
      <c r="AC12" s="2">
        <v>19.207453565613999</v>
      </c>
      <c r="AD12" s="2">
        <v>-0.22810696952189199</v>
      </c>
      <c r="AE12" s="2">
        <v>0.60645393470624098</v>
      </c>
      <c r="AF12" s="2">
        <v>19.207453565613999</v>
      </c>
      <c r="AG12" s="2">
        <v>-0.22995720722836299</v>
      </c>
      <c r="AH12" s="2">
        <v>0.60645393470624098</v>
      </c>
      <c r="AI12" s="2">
        <v>19.207453565613999</v>
      </c>
      <c r="AJ12" s="2">
        <v>-0.23150692066284001</v>
      </c>
    </row>
    <row r="13" spans="1:36" ht="14.25" customHeight="1">
      <c r="A13" s="21">
        <v>37894</v>
      </c>
      <c r="B13" s="37">
        <v>4.5935749989618504</v>
      </c>
      <c r="C13" s="238">
        <v>0.86986168889451299</v>
      </c>
      <c r="D13" s="2">
        <v>2</v>
      </c>
      <c r="E13" s="229">
        <v>18.487452080598601</v>
      </c>
      <c r="F13" s="230">
        <v>-0.77812260598203797</v>
      </c>
      <c r="G13" s="238">
        <v>0.86986168889451299</v>
      </c>
      <c r="H13" s="229">
        <v>18.487452080598601</v>
      </c>
      <c r="I13" s="230">
        <v>-0.77812260598203797</v>
      </c>
      <c r="J13" s="238">
        <v>0.86986168889451299</v>
      </c>
      <c r="K13" s="229">
        <v>18.487452080598601</v>
      </c>
      <c r="L13" s="230">
        <v>-0.77812260598203797</v>
      </c>
      <c r="M13" s="6">
        <f t="shared" si="0"/>
        <v>19.265574686580639</v>
      </c>
      <c r="Y13" s="21">
        <v>37894</v>
      </c>
      <c r="Z13" s="2">
        <v>4.5935749989618504</v>
      </c>
      <c r="AA13" s="2">
        <v>0.86986168889451299</v>
      </c>
      <c r="AB13" s="2">
        <v>2</v>
      </c>
      <c r="AC13" s="2">
        <v>18.487452080598601</v>
      </c>
      <c r="AD13" s="2">
        <v>-0.778122605981865</v>
      </c>
      <c r="AE13" s="2">
        <v>0.86986168889451299</v>
      </c>
      <c r="AF13" s="2">
        <v>18.487452080598601</v>
      </c>
      <c r="AG13" s="2">
        <v>-0.78058109855515501</v>
      </c>
      <c r="AH13" s="2">
        <v>0.86986168889451299</v>
      </c>
      <c r="AI13" s="2">
        <v>18.487452080598601</v>
      </c>
      <c r="AJ13" s="2">
        <v>-0.78264072231425297</v>
      </c>
    </row>
    <row r="14" spans="1:36" ht="14.25" customHeight="1">
      <c r="A14" s="21">
        <v>37986</v>
      </c>
      <c r="B14" s="37">
        <v>1.2943755275895299</v>
      </c>
      <c r="C14" s="238">
        <v>3.6318661244724599</v>
      </c>
      <c r="D14" s="2">
        <v>1.9</v>
      </c>
      <c r="E14" s="229">
        <v>18.254025122637099</v>
      </c>
      <c r="F14" s="230">
        <v>-0.84486904598072599</v>
      </c>
      <c r="G14" s="238">
        <v>3.6318661244724599</v>
      </c>
      <c r="H14" s="229">
        <v>18.254025122637099</v>
      </c>
      <c r="I14" s="230">
        <v>-0.84486904598072599</v>
      </c>
      <c r="J14" s="238">
        <v>3.6318661244724599</v>
      </c>
      <c r="K14" s="229">
        <v>18.254025122637099</v>
      </c>
      <c r="L14" s="230">
        <v>-0.84486904598072599</v>
      </c>
      <c r="M14" s="6">
        <f t="shared" si="0"/>
        <v>19.098894168617825</v>
      </c>
      <c r="Y14" s="21">
        <v>37986</v>
      </c>
      <c r="Z14" s="2">
        <v>1.2943755275895299</v>
      </c>
      <c r="AA14" s="2">
        <v>3.6318661244724599</v>
      </c>
      <c r="AB14" s="2">
        <v>1.9</v>
      </c>
      <c r="AC14" s="2">
        <v>18.254025122637099</v>
      </c>
      <c r="AD14" s="2">
        <v>-0.84486904598063906</v>
      </c>
      <c r="AE14" s="2">
        <v>3.6318661244724599</v>
      </c>
      <c r="AF14" s="2">
        <v>18.254025122637099</v>
      </c>
      <c r="AG14" s="2">
        <v>-0.84793961861995504</v>
      </c>
      <c r="AH14" s="2">
        <v>3.6318661244724599</v>
      </c>
      <c r="AI14" s="2">
        <v>18.254025122637099</v>
      </c>
      <c r="AJ14" s="2">
        <v>-0.85051236237046002</v>
      </c>
    </row>
    <row r="15" spans="1:36" ht="14.25" customHeight="1">
      <c r="A15" s="21">
        <v>38077</v>
      </c>
      <c r="B15" s="37">
        <v>1.4142985284130201</v>
      </c>
      <c r="C15" s="238">
        <v>0.77823016159577196</v>
      </c>
      <c r="D15" s="2">
        <v>1.5</v>
      </c>
      <c r="E15" s="229">
        <v>18.056915580643</v>
      </c>
      <c r="F15" s="230">
        <v>-0.87911209039738603</v>
      </c>
      <c r="G15" s="238">
        <v>0.77823016159577196</v>
      </c>
      <c r="H15" s="229">
        <v>18.056915580643</v>
      </c>
      <c r="I15" s="230">
        <v>-0.87911209039738603</v>
      </c>
      <c r="J15" s="238">
        <v>0.77823016159577196</v>
      </c>
      <c r="K15" s="229">
        <v>18.056915580643</v>
      </c>
      <c r="L15" s="230">
        <v>-0.87911209039738603</v>
      </c>
      <c r="M15" s="6">
        <f t="shared" si="0"/>
        <v>18.936027671040385</v>
      </c>
      <c r="Y15" s="21">
        <v>38077</v>
      </c>
      <c r="Z15" s="2">
        <v>1.4142985284130201</v>
      </c>
      <c r="AA15" s="2">
        <v>0.77823016159577196</v>
      </c>
      <c r="AB15" s="2">
        <v>1.5</v>
      </c>
      <c r="AC15" s="2">
        <v>18.056915580643</v>
      </c>
      <c r="AD15" s="2">
        <v>-0.87911209039732097</v>
      </c>
      <c r="AE15" s="2">
        <v>0.77823016159577196</v>
      </c>
      <c r="AF15" s="2">
        <v>18.056915580643</v>
      </c>
      <c r="AG15" s="2">
        <v>-0.88279880761908402</v>
      </c>
      <c r="AH15" s="2">
        <v>0.77823016159577196</v>
      </c>
      <c r="AI15" s="2">
        <v>18.056915580643</v>
      </c>
      <c r="AJ15" s="2">
        <v>-0.88588808224473603</v>
      </c>
    </row>
    <row r="16" spans="1:36" ht="14.25" customHeight="1">
      <c r="A16" s="21">
        <v>38168</v>
      </c>
      <c r="B16" s="37">
        <v>2.82157474911868</v>
      </c>
      <c r="C16" s="238">
        <v>2.1508990893951001</v>
      </c>
      <c r="D16" s="2">
        <v>2.2999999999999998</v>
      </c>
      <c r="E16" s="229">
        <v>17.948147201702501</v>
      </c>
      <c r="F16" s="230">
        <v>-0.82930288717627698</v>
      </c>
      <c r="G16" s="238">
        <v>2.1508990893951001</v>
      </c>
      <c r="H16" s="229">
        <v>17.948147201702501</v>
      </c>
      <c r="I16" s="230">
        <v>-0.82930288717627698</v>
      </c>
      <c r="J16" s="238">
        <v>2.1508990893951001</v>
      </c>
      <c r="K16" s="229">
        <v>17.948147201702501</v>
      </c>
      <c r="L16" s="230">
        <v>-0.82930288717627698</v>
      </c>
      <c r="M16" s="6">
        <f t="shared" si="0"/>
        <v>18.777450088878776</v>
      </c>
      <c r="Y16" s="21">
        <v>38168</v>
      </c>
      <c r="Z16" s="2">
        <v>2.82157474911868</v>
      </c>
      <c r="AA16" s="2">
        <v>2.1508990893951001</v>
      </c>
      <c r="AB16" s="2">
        <v>2.2999999999999998</v>
      </c>
      <c r="AC16" s="2">
        <v>17.948147201702501</v>
      </c>
      <c r="AD16" s="2">
        <v>-0.82930288717631995</v>
      </c>
      <c r="AE16" s="2">
        <v>2.1508990893951001</v>
      </c>
      <c r="AF16" s="2">
        <v>17.948147201702501</v>
      </c>
      <c r="AG16" s="2">
        <v>-0.83360992999142802</v>
      </c>
      <c r="AH16" s="2">
        <v>2.1508990893951001</v>
      </c>
      <c r="AI16" s="2">
        <v>17.948147201702501</v>
      </c>
      <c r="AJ16" s="2">
        <v>-0.837219244683297</v>
      </c>
    </row>
    <row r="17" spans="1:36" ht="14.25" customHeight="1">
      <c r="A17" s="21">
        <v>38260</v>
      </c>
      <c r="B17" s="37">
        <v>0.90599655545617896</v>
      </c>
      <c r="C17" s="238">
        <v>2.9011246496524001</v>
      </c>
      <c r="D17" s="2">
        <v>2</v>
      </c>
      <c r="E17" s="229">
        <v>18.016393071770199</v>
      </c>
      <c r="F17" s="230">
        <v>-0.60720808090994105</v>
      </c>
      <c r="G17" s="238">
        <v>2.9011246496524001</v>
      </c>
      <c r="H17" s="229">
        <v>18.016393071770199</v>
      </c>
      <c r="I17" s="230">
        <v>-0.60720808090994105</v>
      </c>
      <c r="J17" s="238">
        <v>2.9011246496524001</v>
      </c>
      <c r="K17" s="229">
        <v>18.016393071770199</v>
      </c>
      <c r="L17" s="230">
        <v>-0.60720808090994105</v>
      </c>
      <c r="M17" s="6">
        <f t="shared" si="0"/>
        <v>18.623601152680141</v>
      </c>
      <c r="Y17" s="21">
        <v>38260</v>
      </c>
      <c r="Z17" s="2">
        <v>0.90599655545617896</v>
      </c>
      <c r="AA17" s="2">
        <v>2.9011246496524001</v>
      </c>
      <c r="AB17" s="2">
        <v>2</v>
      </c>
      <c r="AC17" s="2">
        <v>18.016393071770199</v>
      </c>
      <c r="AD17" s="2">
        <v>-0.607208080910006</v>
      </c>
      <c r="AE17" s="2">
        <v>2.9011246496524001</v>
      </c>
      <c r="AF17" s="2">
        <v>18.016393071770199</v>
      </c>
      <c r="AG17" s="2">
        <v>-0.61213959935523898</v>
      </c>
      <c r="AH17" s="2">
        <v>2.9011246496524001</v>
      </c>
      <c r="AI17" s="2">
        <v>18.016393071770199</v>
      </c>
      <c r="AJ17" s="2">
        <v>-0.61627243804051501</v>
      </c>
    </row>
    <row r="18" spans="1:36" ht="14.25" customHeight="1">
      <c r="A18" s="21">
        <v>38352</v>
      </c>
      <c r="B18" s="37">
        <v>5.7791974568278004</v>
      </c>
      <c r="C18" s="238">
        <v>3.4723136610599101</v>
      </c>
      <c r="D18" s="2">
        <v>2.2000000000000002</v>
      </c>
      <c r="E18" s="229">
        <v>18.0540782277738</v>
      </c>
      <c r="F18" s="230">
        <v>-0.42080919310221598</v>
      </c>
      <c r="G18" s="238">
        <v>3.4723136610599101</v>
      </c>
      <c r="H18" s="229">
        <v>18.0540782277738</v>
      </c>
      <c r="I18" s="230">
        <v>-0.42080919310221598</v>
      </c>
      <c r="J18" s="238">
        <v>3.4723136610599101</v>
      </c>
      <c r="K18" s="229">
        <v>18.0540782277738</v>
      </c>
      <c r="L18" s="230">
        <v>-0.42080919310221598</v>
      </c>
      <c r="M18" s="6">
        <f t="shared" si="0"/>
        <v>18.474887420876016</v>
      </c>
      <c r="Y18" s="21">
        <v>38352</v>
      </c>
      <c r="Z18" s="2">
        <v>5.7791974568278004</v>
      </c>
      <c r="AA18" s="2">
        <v>3.4723136610599101</v>
      </c>
      <c r="AB18" s="2">
        <v>2.2000000000000002</v>
      </c>
      <c r="AC18" s="2">
        <v>18.0540782277738</v>
      </c>
      <c r="AD18" s="2">
        <v>-0.42080919310230303</v>
      </c>
      <c r="AE18" s="2">
        <v>3.4723136610599101</v>
      </c>
      <c r="AF18" s="2">
        <v>18.0540782277738</v>
      </c>
      <c r="AG18" s="2">
        <v>-0.42636913395832499</v>
      </c>
      <c r="AH18" s="2">
        <v>3.4723136610599101</v>
      </c>
      <c r="AI18" s="2">
        <v>18.0540782277738</v>
      </c>
      <c r="AJ18" s="2">
        <v>-0.43102881092797002</v>
      </c>
    </row>
    <row r="19" spans="1:36" ht="14.25" customHeight="1">
      <c r="A19" s="21">
        <v>38442</v>
      </c>
      <c r="B19" s="37">
        <v>6.7246999861255503</v>
      </c>
      <c r="C19" s="238">
        <v>4.0887729605344498</v>
      </c>
      <c r="D19" s="2">
        <v>2.2000000000000002</v>
      </c>
      <c r="E19" s="229">
        <v>18.172802167268401</v>
      </c>
      <c r="F19" s="230">
        <v>-0.158888996306251</v>
      </c>
      <c r="G19" s="238">
        <v>4.0887729605344498</v>
      </c>
      <c r="H19" s="229">
        <v>18.172802167268401</v>
      </c>
      <c r="I19" s="230">
        <v>-0.158888996306251</v>
      </c>
      <c r="J19" s="238">
        <v>4.0887729605344498</v>
      </c>
      <c r="K19" s="229">
        <v>18.172802167268401</v>
      </c>
      <c r="L19" s="230">
        <v>-0.158888996306251</v>
      </c>
      <c r="M19" s="6">
        <f t="shared" si="0"/>
        <v>18.331691163574654</v>
      </c>
      <c r="Y19" s="21">
        <v>38442</v>
      </c>
      <c r="Z19" s="2">
        <v>6.7246999861255503</v>
      </c>
      <c r="AA19" s="2">
        <v>4.0887729605344498</v>
      </c>
      <c r="AB19" s="2">
        <v>2.2000000000000002</v>
      </c>
      <c r="AC19" s="2">
        <v>18.172802167268401</v>
      </c>
      <c r="AD19" s="2">
        <v>-0.15888899630640299</v>
      </c>
      <c r="AE19" s="2">
        <v>4.0887729605344498</v>
      </c>
      <c r="AF19" s="2">
        <v>18.172802167268401</v>
      </c>
      <c r="AG19" s="2">
        <v>-0.165080905837169</v>
      </c>
      <c r="AH19" s="2">
        <v>4.0887729605344498</v>
      </c>
      <c r="AI19" s="2">
        <v>18.172802167268401</v>
      </c>
      <c r="AJ19" s="2">
        <v>-0.17027040043230601</v>
      </c>
    </row>
    <row r="20" spans="1:36" ht="14.25" customHeight="1">
      <c r="A20" s="21">
        <v>38533</v>
      </c>
      <c r="B20" s="37">
        <v>-1.99422818032828</v>
      </c>
      <c r="C20" s="238">
        <v>3.3769211544391702</v>
      </c>
      <c r="D20" s="2">
        <v>2</v>
      </c>
      <c r="E20" s="229">
        <v>17.9964584735425</v>
      </c>
      <c r="F20" s="230">
        <v>-0.19791934497426</v>
      </c>
      <c r="G20" s="238">
        <v>3.3769211544391702</v>
      </c>
      <c r="H20" s="229">
        <v>17.9964584735425</v>
      </c>
      <c r="I20" s="230">
        <v>-0.19791934497426</v>
      </c>
      <c r="J20" s="238">
        <v>3.3769211544391702</v>
      </c>
      <c r="K20" s="229">
        <v>17.9964584735425</v>
      </c>
      <c r="L20" s="230">
        <v>-0.19791934497426</v>
      </c>
      <c r="M20" s="6">
        <f t="shared" si="0"/>
        <v>18.19437781851676</v>
      </c>
      <c r="Y20" s="21">
        <v>38533</v>
      </c>
      <c r="Z20" s="2">
        <v>-1.99422818032828</v>
      </c>
      <c r="AA20" s="2">
        <v>3.3769211544391702</v>
      </c>
      <c r="AB20" s="2">
        <v>2</v>
      </c>
      <c r="AC20" s="2">
        <v>17.9964584735425</v>
      </c>
      <c r="AD20" s="2">
        <v>-0.197919344974368</v>
      </c>
      <c r="AE20" s="2">
        <v>3.3769211544391702</v>
      </c>
      <c r="AF20" s="2">
        <v>17.9964584735425</v>
      </c>
      <c r="AG20" s="2">
        <v>-0.20474614652956899</v>
      </c>
      <c r="AH20" s="2">
        <v>3.3769211544391702</v>
      </c>
      <c r="AI20" s="2">
        <v>17.9964584735425</v>
      </c>
      <c r="AJ20" s="2">
        <v>-0.21046791675437701</v>
      </c>
    </row>
    <row r="21" spans="1:36" ht="14.25" customHeight="1">
      <c r="A21" s="21">
        <v>38625</v>
      </c>
      <c r="B21" s="37">
        <v>4.7144429768824399</v>
      </c>
      <c r="C21" s="238">
        <v>1.20846219001267</v>
      </c>
      <c r="D21" s="2">
        <v>2.5</v>
      </c>
      <c r="E21" s="229">
        <v>17.640247345595998</v>
      </c>
      <c r="F21" s="230">
        <v>-0.42305912228714698</v>
      </c>
      <c r="G21" s="238">
        <v>1.20846219001267</v>
      </c>
      <c r="H21" s="229">
        <v>17.640247345595998</v>
      </c>
      <c r="I21" s="230">
        <v>-0.42305912228714698</v>
      </c>
      <c r="J21" s="238">
        <v>1.20846219001267</v>
      </c>
      <c r="K21" s="229">
        <v>17.640247345595998</v>
      </c>
      <c r="L21" s="230">
        <v>-0.42305912228714698</v>
      </c>
      <c r="M21" s="6">
        <f t="shared" si="0"/>
        <v>18.063306467883145</v>
      </c>
      <c r="Y21" s="21">
        <v>38625</v>
      </c>
      <c r="Z21" s="2">
        <v>4.7144429768824399</v>
      </c>
      <c r="AA21" s="2">
        <v>1.20846219001267</v>
      </c>
      <c r="AB21" s="2">
        <v>2.5</v>
      </c>
      <c r="AC21" s="2">
        <v>17.640247345595998</v>
      </c>
      <c r="AD21" s="2">
        <v>-0.42305912228716902</v>
      </c>
      <c r="AE21" s="2">
        <v>1.20846219001267</v>
      </c>
      <c r="AF21" s="2">
        <v>17.640247345595998</v>
      </c>
      <c r="AG21" s="2">
        <v>-0.43052286862565797</v>
      </c>
      <c r="AH21" s="2">
        <v>1.20846219001267</v>
      </c>
      <c r="AI21" s="2">
        <v>17.640247345595998</v>
      </c>
      <c r="AJ21" s="2">
        <v>-0.43677864356764801</v>
      </c>
    </row>
    <row r="22" spans="1:36" ht="14.25" customHeight="1">
      <c r="A22" s="21">
        <v>38717</v>
      </c>
      <c r="B22" s="37">
        <v>4.9976861882360799</v>
      </c>
      <c r="C22" s="238">
        <v>3.5966412807180599</v>
      </c>
      <c r="D22" s="2">
        <v>2.2000000000000002</v>
      </c>
      <c r="E22" s="229">
        <v>17.351017235844001</v>
      </c>
      <c r="F22" s="230">
        <v>-0.58781104123641104</v>
      </c>
      <c r="G22" s="238">
        <v>3.5966412807180599</v>
      </c>
      <c r="H22" s="229">
        <v>17.351017235844001</v>
      </c>
      <c r="I22" s="230">
        <v>-0.58781104123641104</v>
      </c>
      <c r="J22" s="238">
        <v>3.5966412807180599</v>
      </c>
      <c r="K22" s="229">
        <v>17.351017235844001</v>
      </c>
      <c r="L22" s="230">
        <v>-0.58781104123641104</v>
      </c>
      <c r="M22" s="6">
        <f t="shared" si="0"/>
        <v>17.938828277080411</v>
      </c>
      <c r="Y22" s="21">
        <v>38717</v>
      </c>
      <c r="Z22" s="2">
        <v>4.9976861882360799</v>
      </c>
      <c r="AA22" s="2">
        <v>3.5966412807180599</v>
      </c>
      <c r="AB22" s="2">
        <v>2.2000000000000002</v>
      </c>
      <c r="AC22" s="2">
        <v>17.351017235844001</v>
      </c>
      <c r="AD22" s="2">
        <v>-0.58781104123660599</v>
      </c>
      <c r="AE22" s="2">
        <v>3.5966412807180599</v>
      </c>
      <c r="AF22" s="2">
        <v>17.351017235844001</v>
      </c>
      <c r="AG22" s="2">
        <v>-0.59591264145440204</v>
      </c>
      <c r="AH22" s="2">
        <v>3.5966412807180599</v>
      </c>
      <c r="AI22" s="2">
        <v>17.351017235844001</v>
      </c>
      <c r="AJ22" s="2">
        <v>-0.60270319241345904</v>
      </c>
    </row>
    <row r="23" spans="1:36" ht="14.25" customHeight="1">
      <c r="A23" s="21">
        <v>38807</v>
      </c>
      <c r="B23" s="37">
        <v>4.02076011649892</v>
      </c>
      <c r="C23" s="238">
        <v>2.2294765174256002</v>
      </c>
      <c r="D23" s="2">
        <v>2.1</v>
      </c>
      <c r="E23" s="229">
        <v>16.8568635832358</v>
      </c>
      <c r="F23" s="230">
        <v>-0.96441390591542198</v>
      </c>
      <c r="G23" s="238">
        <v>2.2294765174256002</v>
      </c>
      <c r="H23" s="229">
        <v>16.8568635832358</v>
      </c>
      <c r="I23" s="230">
        <v>-0.96441390591542198</v>
      </c>
      <c r="J23" s="238">
        <v>2.2294765174256002</v>
      </c>
      <c r="K23" s="229">
        <v>16.8568635832358</v>
      </c>
      <c r="L23" s="230">
        <v>-0.96441390591542198</v>
      </c>
      <c r="M23" s="6">
        <f t="shared" si="0"/>
        <v>17.821277489151221</v>
      </c>
      <c r="Y23" s="21">
        <v>38807</v>
      </c>
      <c r="Z23" s="2">
        <v>4.02076011649892</v>
      </c>
      <c r="AA23" s="2">
        <v>2.2294765174256002</v>
      </c>
      <c r="AB23" s="2">
        <v>2.1</v>
      </c>
      <c r="AC23" s="2">
        <v>16.8568635832358</v>
      </c>
      <c r="AD23" s="2">
        <v>-0.96441390591557397</v>
      </c>
      <c r="AE23" s="2">
        <v>2.2294765174256002</v>
      </c>
      <c r="AF23" s="2">
        <v>16.8568635832358</v>
      </c>
      <c r="AG23" s="2">
        <v>-0.97315282689617999</v>
      </c>
      <c r="AH23" s="2">
        <v>2.2294765174256002</v>
      </c>
      <c r="AI23" s="2">
        <v>16.8568635832358</v>
      </c>
      <c r="AJ23" s="2">
        <v>-0.98047771715360899</v>
      </c>
    </row>
    <row r="24" spans="1:36" ht="14.25" customHeight="1">
      <c r="A24" s="21">
        <v>38898</v>
      </c>
      <c r="B24" s="37">
        <v>2.59631323286504</v>
      </c>
      <c r="C24" s="238">
        <v>3.35320162981145</v>
      </c>
      <c r="D24" s="2">
        <v>2.4</v>
      </c>
      <c r="E24" s="229">
        <v>16.4470380323427</v>
      </c>
      <c r="F24" s="230">
        <v>-1.26392680235288</v>
      </c>
      <c r="G24" s="238">
        <v>3.35320162981145</v>
      </c>
      <c r="H24" s="229">
        <v>16.4470380323427</v>
      </c>
      <c r="I24" s="230">
        <v>-1.26392680235288</v>
      </c>
      <c r="J24" s="238">
        <v>3.35320162981145</v>
      </c>
      <c r="K24" s="229">
        <v>16.4470380323427</v>
      </c>
      <c r="L24" s="230">
        <v>-1.26392680235288</v>
      </c>
      <c r="M24" s="6">
        <f t="shared" si="0"/>
        <v>17.710964834695581</v>
      </c>
      <c r="Y24" s="21">
        <v>38898</v>
      </c>
      <c r="Z24" s="2">
        <v>2.59631323286504</v>
      </c>
      <c r="AA24" s="2">
        <v>3.35320162981145</v>
      </c>
      <c r="AB24" s="2">
        <v>2.4</v>
      </c>
      <c r="AC24" s="2">
        <v>16.4470380323427</v>
      </c>
      <c r="AD24" s="2">
        <v>-1.2639268023529899</v>
      </c>
      <c r="AE24" s="2">
        <v>3.35320162981145</v>
      </c>
      <c r="AF24" s="2">
        <v>16.4470380323427</v>
      </c>
      <c r="AG24" s="2">
        <v>-1.2733007447031699</v>
      </c>
      <c r="AH24" s="2">
        <v>3.35320162981145</v>
      </c>
      <c r="AI24" s="2">
        <v>16.4470380323427</v>
      </c>
      <c r="AJ24" s="2">
        <v>-1.2811580578997399</v>
      </c>
    </row>
    <row r="25" spans="1:36" ht="14.25" customHeight="1">
      <c r="A25" s="21">
        <v>38990</v>
      </c>
      <c r="B25" s="37">
        <v>-0.18161759225264801</v>
      </c>
      <c r="C25" s="238">
        <v>1.73393762142879</v>
      </c>
      <c r="D25" s="2">
        <v>1.9</v>
      </c>
      <c r="E25" s="229">
        <v>16.4142633126169</v>
      </c>
      <c r="F25" s="230">
        <v>-1.19389915514078</v>
      </c>
      <c r="G25" s="238">
        <v>1.73393762142879</v>
      </c>
      <c r="H25" s="229">
        <v>16.4142633126169</v>
      </c>
      <c r="I25" s="230">
        <v>-1.19389915514078</v>
      </c>
      <c r="J25" s="238">
        <v>1.73393762142879</v>
      </c>
      <c r="K25" s="229">
        <v>16.4142633126169</v>
      </c>
      <c r="L25" s="230">
        <v>-1.19389915514078</v>
      </c>
      <c r="M25" s="6">
        <f t="shared" si="0"/>
        <v>17.60816246775768</v>
      </c>
      <c r="Y25" s="21">
        <v>38990</v>
      </c>
      <c r="Z25" s="2">
        <v>-0.18161759225264801</v>
      </c>
      <c r="AA25" s="2">
        <v>1.73393762142879</v>
      </c>
      <c r="AB25" s="2">
        <v>1.9</v>
      </c>
      <c r="AC25" s="2">
        <v>16.4142633126169</v>
      </c>
      <c r="AD25" s="2">
        <v>-1.1938991551409099</v>
      </c>
      <c r="AE25" s="2">
        <v>1.73393762142879</v>
      </c>
      <c r="AF25" s="2">
        <v>16.4142633126169</v>
      </c>
      <c r="AG25" s="2">
        <v>-1.2039037036340701</v>
      </c>
      <c r="AH25" s="2">
        <v>1.73393762142879</v>
      </c>
      <c r="AI25" s="2">
        <v>16.4142633126169</v>
      </c>
      <c r="AJ25" s="2">
        <v>-1.21228975077433</v>
      </c>
    </row>
    <row r="26" spans="1:36" ht="14.25" customHeight="1">
      <c r="A26" s="21">
        <v>39082</v>
      </c>
      <c r="B26" s="37">
        <v>2.1444056864349901</v>
      </c>
      <c r="C26" s="238">
        <v>2.1005677911666099</v>
      </c>
      <c r="D26" s="2">
        <v>2.1</v>
      </c>
      <c r="E26" s="229">
        <v>16.1622976664741</v>
      </c>
      <c r="F26" s="230">
        <v>-1.3507943188358</v>
      </c>
      <c r="G26" s="238">
        <v>2.1005677911666099</v>
      </c>
      <c r="H26" s="229">
        <v>16.1622976664741</v>
      </c>
      <c r="I26" s="230">
        <v>-1.3507943188358</v>
      </c>
      <c r="J26" s="238">
        <v>2.1005677911666099</v>
      </c>
      <c r="K26" s="229">
        <v>16.1622976664741</v>
      </c>
      <c r="L26" s="230">
        <v>-1.3507943188358</v>
      </c>
      <c r="M26" s="6">
        <f t="shared" si="0"/>
        <v>17.513091985309899</v>
      </c>
      <c r="Y26" s="21">
        <v>39082</v>
      </c>
      <c r="Z26" s="2">
        <v>2.1444056864349901</v>
      </c>
      <c r="AA26" s="2">
        <v>2.1005677911666099</v>
      </c>
      <c r="AB26" s="2">
        <v>2.1</v>
      </c>
      <c r="AC26" s="2">
        <v>16.1622976664741</v>
      </c>
      <c r="AD26" s="2">
        <v>-1.35079431883584</v>
      </c>
      <c r="AE26" s="2">
        <v>2.1005677911666099</v>
      </c>
      <c r="AF26" s="2">
        <v>16.1622976664741</v>
      </c>
      <c r="AG26" s="2">
        <v>-1.36142256745389</v>
      </c>
      <c r="AH26" s="2">
        <v>2.1005677911666099</v>
      </c>
      <c r="AI26" s="2">
        <v>16.1622976664741</v>
      </c>
      <c r="AJ26" s="2">
        <v>-1.370331572614</v>
      </c>
    </row>
    <row r="27" spans="1:36" ht="14.25" customHeight="1">
      <c r="A27" s="21">
        <v>39172</v>
      </c>
      <c r="B27" s="37">
        <v>2.8827855439035801</v>
      </c>
      <c r="C27" s="238">
        <v>2.8661998652254699</v>
      </c>
      <c r="D27" s="2">
        <v>2.2999999999999998</v>
      </c>
      <c r="E27" s="229">
        <v>15.4393014480191</v>
      </c>
      <c r="F27" s="230">
        <v>-1.9866257803387</v>
      </c>
      <c r="G27" s="238">
        <v>2.8661998652254699</v>
      </c>
      <c r="H27" s="229">
        <v>15.4393014480191</v>
      </c>
      <c r="I27" s="230">
        <v>-1.9866257803387</v>
      </c>
      <c r="J27" s="238">
        <v>2.8661998652254699</v>
      </c>
      <c r="K27" s="229">
        <v>15.4393014480191</v>
      </c>
      <c r="L27" s="230">
        <v>-1.9866257803387</v>
      </c>
      <c r="M27" s="6">
        <f t="shared" si="0"/>
        <v>17.4259272283578</v>
      </c>
      <c r="Y27" s="21">
        <v>39172</v>
      </c>
      <c r="Z27" s="2">
        <v>2.8827855439035801</v>
      </c>
      <c r="AA27" s="2">
        <v>2.8661998652254699</v>
      </c>
      <c r="AB27" s="2">
        <v>2.2999999999999998</v>
      </c>
      <c r="AC27" s="2">
        <v>15.4393014480191</v>
      </c>
      <c r="AD27" s="2">
        <v>-1.9866257803387499</v>
      </c>
      <c r="AE27" s="2">
        <v>2.8661998652254699</v>
      </c>
      <c r="AF27" s="2">
        <v>15.4393014480191</v>
      </c>
      <c r="AG27" s="2">
        <v>-1.99786793209072</v>
      </c>
      <c r="AH27" s="2">
        <v>2.8661998652254699</v>
      </c>
      <c r="AI27" s="2">
        <v>15.4393014480191</v>
      </c>
      <c r="AJ27" s="2">
        <v>-2.0072916969760399</v>
      </c>
    </row>
    <row r="28" spans="1:36" ht="14.25" customHeight="1">
      <c r="A28" s="21">
        <v>39263</v>
      </c>
      <c r="B28" s="37">
        <v>2.5698412252468201</v>
      </c>
      <c r="C28" s="238">
        <v>2.4745493269333201</v>
      </c>
      <c r="D28" s="2">
        <v>2.1</v>
      </c>
      <c r="E28" s="229">
        <v>14.852021997673701</v>
      </c>
      <c r="F28" s="230">
        <v>-2.4947660084610201</v>
      </c>
      <c r="G28" s="238">
        <v>2.4745493269333201</v>
      </c>
      <c r="H28" s="229">
        <v>14.852021997673701</v>
      </c>
      <c r="I28" s="230">
        <v>-2.4947660084610201</v>
      </c>
      <c r="J28" s="238">
        <v>2.4745493269333201</v>
      </c>
      <c r="K28" s="229">
        <v>14.852021997673701</v>
      </c>
      <c r="L28" s="230">
        <v>-2.4947660084610201</v>
      </c>
      <c r="M28" s="6">
        <f t="shared" si="0"/>
        <v>17.346788006134719</v>
      </c>
      <c r="Y28" s="21">
        <v>39263</v>
      </c>
      <c r="Z28" s="2">
        <v>2.5698412252468201</v>
      </c>
      <c r="AA28" s="2">
        <v>2.4745493269333201</v>
      </c>
      <c r="AB28" s="2">
        <v>2.1</v>
      </c>
      <c r="AC28" s="2">
        <v>14.852021997673701</v>
      </c>
      <c r="AD28" s="2">
        <v>-2.49476600846089</v>
      </c>
      <c r="AE28" s="2">
        <v>2.4745493269333201</v>
      </c>
      <c r="AF28" s="2">
        <v>14.852021997673701</v>
      </c>
      <c r="AG28" s="2">
        <v>-2.50660895025276</v>
      </c>
      <c r="AH28" s="2">
        <v>2.4745493269333201</v>
      </c>
      <c r="AI28" s="2">
        <v>14.852021997673701</v>
      </c>
      <c r="AJ28" s="2">
        <v>-2.5165364978376301</v>
      </c>
    </row>
    <row r="29" spans="1:36" ht="14.25" customHeight="1">
      <c r="A29" s="21">
        <v>39355</v>
      </c>
      <c r="B29" s="37">
        <v>7.8832637673481996</v>
      </c>
      <c r="C29" s="238">
        <v>4.5228754950998002</v>
      </c>
      <c r="D29" s="2">
        <v>2.2000000000000002</v>
      </c>
      <c r="E29" s="229">
        <v>14.463660115008</v>
      </c>
      <c r="F29" s="230">
        <v>-2.8120545478340899</v>
      </c>
      <c r="G29" s="238">
        <v>4.5228754950998002</v>
      </c>
      <c r="H29" s="229">
        <v>14.463660115008</v>
      </c>
      <c r="I29" s="230">
        <v>-2.8120545478340899</v>
      </c>
      <c r="J29" s="238">
        <v>4.5228754950998002</v>
      </c>
      <c r="K29" s="229">
        <v>14.463660115008</v>
      </c>
      <c r="L29" s="230">
        <v>-2.8120545478340899</v>
      </c>
      <c r="M29" s="6">
        <f t="shared" si="0"/>
        <v>17.275714662842091</v>
      </c>
      <c r="Y29" s="21">
        <v>39355</v>
      </c>
      <c r="Z29" s="2">
        <v>7.8832637673481996</v>
      </c>
      <c r="AA29" s="2">
        <v>4.5228754950998002</v>
      </c>
      <c r="AB29" s="2">
        <v>2.2000000000000002</v>
      </c>
      <c r="AC29" s="2">
        <v>14.463660115008</v>
      </c>
      <c r="AD29" s="2">
        <v>-2.8120545478340402</v>
      </c>
      <c r="AE29" s="2">
        <v>4.5228754950998002</v>
      </c>
      <c r="AF29" s="2">
        <v>14.463660115008</v>
      </c>
      <c r="AG29" s="2">
        <v>-2.8244814007825099</v>
      </c>
      <c r="AH29" s="2">
        <v>4.5228754950998002</v>
      </c>
      <c r="AI29" s="2">
        <v>14.463660115008</v>
      </c>
      <c r="AJ29" s="2">
        <v>-2.8348985983601498</v>
      </c>
    </row>
    <row r="30" spans="1:36" ht="14.25" customHeight="1">
      <c r="A30" s="21">
        <v>39447</v>
      </c>
      <c r="B30" s="37">
        <v>10.343019331518599</v>
      </c>
      <c r="C30" s="238">
        <v>10.941711973563701</v>
      </c>
      <c r="D30" s="2">
        <v>3.2</v>
      </c>
      <c r="E30" s="229">
        <v>13.9238721383584</v>
      </c>
      <c r="F30" s="230">
        <v>-3.2887756136833199</v>
      </c>
      <c r="G30" s="238">
        <v>10.941711973563701</v>
      </c>
      <c r="H30" s="229">
        <v>13.9238721383584</v>
      </c>
      <c r="I30" s="230">
        <v>-3.2887756136833199</v>
      </c>
      <c r="J30" s="238">
        <v>10.941711973563701</v>
      </c>
      <c r="K30" s="229">
        <v>13.9238721383584</v>
      </c>
      <c r="L30" s="230">
        <v>-3.2887756136833199</v>
      </c>
      <c r="M30" s="6">
        <f t="shared" si="0"/>
        <v>17.212647752041718</v>
      </c>
      <c r="Y30" s="21">
        <v>39447</v>
      </c>
      <c r="Z30" s="2">
        <v>10.343019331518599</v>
      </c>
      <c r="AA30" s="2">
        <v>10.941711973563701</v>
      </c>
      <c r="AB30" s="2">
        <v>3.2</v>
      </c>
      <c r="AC30" s="2">
        <v>13.9238721383584</v>
      </c>
      <c r="AD30" s="2">
        <v>-3.2887756136834199</v>
      </c>
      <c r="AE30" s="2">
        <v>10.941711973563701</v>
      </c>
      <c r="AF30" s="2">
        <v>13.9238721383584</v>
      </c>
      <c r="AG30" s="2">
        <v>-3.3017652593983802</v>
      </c>
      <c r="AH30" s="2">
        <v>10.941711973563701</v>
      </c>
      <c r="AI30" s="2">
        <v>13.9238721383584</v>
      </c>
      <c r="AJ30" s="2">
        <v>-3.31265442147855</v>
      </c>
    </row>
    <row r="31" spans="1:36" ht="14.25" customHeight="1">
      <c r="A31" s="21">
        <v>39538</v>
      </c>
      <c r="B31" s="37">
        <v>2.4293945528091498</v>
      </c>
      <c r="C31" s="238">
        <v>2.87740954949667</v>
      </c>
      <c r="D31" s="2">
        <v>3.7</v>
      </c>
      <c r="E31" s="229">
        <v>13.300571388306601</v>
      </c>
      <c r="F31" s="230">
        <v>-3.8568439568069999</v>
      </c>
      <c r="G31" s="238">
        <v>2.87740954949667</v>
      </c>
      <c r="H31" s="229">
        <v>13.300571388306601</v>
      </c>
      <c r="I31" s="230">
        <v>-3.8568439568069999</v>
      </c>
      <c r="J31" s="238">
        <v>2.87740954949667</v>
      </c>
      <c r="K31" s="229">
        <v>13.300571388306601</v>
      </c>
      <c r="L31" s="230">
        <v>-3.8568439568069999</v>
      </c>
      <c r="M31" s="6">
        <f t="shared" si="0"/>
        <v>17.157415345113602</v>
      </c>
      <c r="Y31" s="21">
        <v>39538</v>
      </c>
      <c r="Z31" s="2">
        <v>2.4293945528091498</v>
      </c>
      <c r="AA31" s="2">
        <v>2.87740954949667</v>
      </c>
      <c r="AB31" s="2">
        <v>3.7</v>
      </c>
      <c r="AC31" s="2">
        <v>13.300571388306601</v>
      </c>
      <c r="AD31" s="2">
        <v>-3.8568439568069102</v>
      </c>
      <c r="AE31" s="2">
        <v>2.87740954949667</v>
      </c>
      <c r="AF31" s="2">
        <v>13.300571388306601</v>
      </c>
      <c r="AG31" s="2">
        <v>-3.87037054031746</v>
      </c>
      <c r="AH31" s="2">
        <v>2.87740954949667</v>
      </c>
      <c r="AI31" s="2">
        <v>13.300571388306601</v>
      </c>
      <c r="AJ31" s="2">
        <v>-3.8817100119387602</v>
      </c>
    </row>
    <row r="32" spans="1:36" ht="14.25" customHeight="1">
      <c r="A32" s="21">
        <v>39629</v>
      </c>
      <c r="B32" s="37">
        <v>9.8562568435451894</v>
      </c>
      <c r="C32" s="238">
        <v>7.7727872824811604</v>
      </c>
      <c r="D32" s="2">
        <v>4.3</v>
      </c>
      <c r="E32" s="229">
        <v>13.2293349497932</v>
      </c>
      <c r="F32" s="230">
        <v>-3.8803790126191702</v>
      </c>
      <c r="G32" s="238">
        <v>7.7727872824811604</v>
      </c>
      <c r="H32" s="229">
        <v>13.2293349497932</v>
      </c>
      <c r="I32" s="230">
        <v>-3.8803790126191702</v>
      </c>
      <c r="J32" s="238">
        <v>7.7727872824811604</v>
      </c>
      <c r="K32" s="229">
        <v>13.2293349497932</v>
      </c>
      <c r="L32" s="230">
        <v>-3.8803790126191702</v>
      </c>
      <c r="M32" s="6">
        <f t="shared" si="0"/>
        <v>17.109713962412371</v>
      </c>
      <c r="Y32" s="21">
        <v>39629</v>
      </c>
      <c r="Z32" s="2">
        <v>9.8562568435451894</v>
      </c>
      <c r="AA32" s="2">
        <v>7.7727872824811604</v>
      </c>
      <c r="AB32" s="2">
        <v>4.3</v>
      </c>
      <c r="AC32" s="2">
        <v>13.2293349497932</v>
      </c>
      <c r="AD32" s="2">
        <v>-3.88037901261906</v>
      </c>
      <c r="AE32" s="2">
        <v>7.7727872824811604</v>
      </c>
      <c r="AF32" s="2">
        <v>13.2293349497932</v>
      </c>
      <c r="AG32" s="2">
        <v>-3.8944114227874702</v>
      </c>
      <c r="AH32" s="2">
        <v>7.7727872824811604</v>
      </c>
      <c r="AI32" s="2">
        <v>13.2293349497932</v>
      </c>
      <c r="AJ32" s="2">
        <v>-3.9061751439508701</v>
      </c>
    </row>
    <row r="33" spans="1:36" ht="14.25" customHeight="1">
      <c r="A33" s="21">
        <v>39721</v>
      </c>
      <c r="B33" s="37">
        <v>3.1647349596965801</v>
      </c>
      <c r="C33" s="238">
        <v>4.0245801693193304</v>
      </c>
      <c r="D33" s="2">
        <v>4.2</v>
      </c>
      <c r="E33" s="229">
        <v>13.1354809219327</v>
      </c>
      <c r="F33" s="230">
        <v>-3.93360492860235</v>
      </c>
      <c r="G33" s="238">
        <v>4.0245801693193304</v>
      </c>
      <c r="H33" s="229">
        <v>13.1354809219327</v>
      </c>
      <c r="I33" s="230">
        <v>-3.93360492860235</v>
      </c>
      <c r="J33" s="238">
        <v>4.0245801693193304</v>
      </c>
      <c r="K33" s="229">
        <v>13.1354809219327</v>
      </c>
      <c r="L33" s="230">
        <v>-3.93360492860235</v>
      </c>
      <c r="M33" s="6">
        <f t="shared" si="0"/>
        <v>17.06908585053505</v>
      </c>
      <c r="Y33" s="21">
        <v>39721</v>
      </c>
      <c r="Z33" s="2">
        <v>3.1647349596965801</v>
      </c>
      <c r="AA33" s="2">
        <v>4.0245801693193304</v>
      </c>
      <c r="AB33" s="2">
        <v>4.2</v>
      </c>
      <c r="AC33" s="2">
        <v>13.1354809219327</v>
      </c>
      <c r="AD33" s="2">
        <v>-3.9336049286023198</v>
      </c>
      <c r="AE33" s="2">
        <v>4.0245801693193304</v>
      </c>
      <c r="AF33" s="2">
        <v>13.1354809219327</v>
      </c>
      <c r="AG33" s="2">
        <v>-3.9481062570606098</v>
      </c>
      <c r="AH33" s="2">
        <v>4.0245801693193304</v>
      </c>
      <c r="AI33" s="2">
        <v>13.1354809219327</v>
      </c>
      <c r="AJ33" s="2">
        <v>-3.9602633091505299</v>
      </c>
    </row>
    <row r="34" spans="1:36" ht="14.25" customHeight="1">
      <c r="A34" s="21">
        <v>39813</v>
      </c>
      <c r="B34" s="37">
        <v>-3.3121717391526899</v>
      </c>
      <c r="C34" s="238">
        <v>2.5082764575689902</v>
      </c>
      <c r="D34" s="2">
        <v>2.2000000000000002</v>
      </c>
      <c r="E34" s="229">
        <v>13.0429094573364</v>
      </c>
      <c r="F34" s="230">
        <v>-3.9920085835817098</v>
      </c>
      <c r="G34" s="238">
        <v>2.5082764575689902</v>
      </c>
      <c r="H34" s="229">
        <v>13.0429094573364</v>
      </c>
      <c r="I34" s="230">
        <v>-3.9920085835817098</v>
      </c>
      <c r="J34" s="238">
        <v>2.5082764575689902</v>
      </c>
      <c r="K34" s="229">
        <v>13.0429094573364</v>
      </c>
      <c r="L34" s="230">
        <v>-3.9920085835817098</v>
      </c>
      <c r="M34" s="6">
        <f t="shared" si="0"/>
        <v>17.034918040918111</v>
      </c>
      <c r="Y34" s="21">
        <v>39813</v>
      </c>
      <c r="Z34" s="2">
        <v>-3.3121717391526899</v>
      </c>
      <c r="AA34" s="2">
        <v>2.5082764575689902</v>
      </c>
      <c r="AB34" s="2">
        <v>2.2000000000000002</v>
      </c>
      <c r="AC34" s="2">
        <v>13.0429094573364</v>
      </c>
      <c r="AD34" s="2">
        <v>-3.9920085835816699</v>
      </c>
      <c r="AE34" s="2">
        <v>2.5082764575689902</v>
      </c>
      <c r="AF34" s="2">
        <v>13.0429094573364</v>
      </c>
      <c r="AG34" s="2">
        <v>-4.0069355634355297</v>
      </c>
      <c r="AH34" s="2">
        <v>2.5082764575689902</v>
      </c>
      <c r="AI34" s="2">
        <v>13.0429094573364</v>
      </c>
      <c r="AJ34" s="2">
        <v>-4.0194496986709298</v>
      </c>
    </row>
    <row r="35" spans="1:36" ht="14.25" customHeight="1">
      <c r="A35" s="21">
        <v>39903</v>
      </c>
      <c r="B35" s="37">
        <v>6.0124217414699404</v>
      </c>
      <c r="C35" s="238">
        <v>2.73549297890021</v>
      </c>
      <c r="D35" s="2">
        <v>1.4</v>
      </c>
      <c r="E35" s="229">
        <v>13.997141567094801</v>
      </c>
      <c r="F35" s="230">
        <v>-3.0092986537059101</v>
      </c>
      <c r="G35" s="238">
        <v>2.73549297890021</v>
      </c>
      <c r="H35" s="229">
        <v>13.997141567094801</v>
      </c>
      <c r="I35" s="230">
        <v>-3.0092986537059101</v>
      </c>
      <c r="J35" s="238">
        <v>2.73549297890021</v>
      </c>
      <c r="K35" s="229">
        <v>13.997141567094801</v>
      </c>
      <c r="L35" s="230">
        <v>-3.0092986537059101</v>
      </c>
      <c r="M35" s="6">
        <f t="shared" si="0"/>
        <v>17.006440220800712</v>
      </c>
      <c r="Y35" s="21">
        <v>39903</v>
      </c>
      <c r="Z35" s="2">
        <v>6.0124217414699404</v>
      </c>
      <c r="AA35" s="2">
        <v>2.73549297890021</v>
      </c>
      <c r="AB35" s="2">
        <v>1.4</v>
      </c>
      <c r="AC35" s="2">
        <v>13.997141567094801</v>
      </c>
      <c r="AD35" s="2">
        <v>-3.0092986537058</v>
      </c>
      <c r="AE35" s="2">
        <v>2.73549297890021</v>
      </c>
      <c r="AF35" s="2">
        <v>13.997141567094801</v>
      </c>
      <c r="AG35" s="2">
        <v>-3.0246010794811502</v>
      </c>
      <c r="AH35" s="2">
        <v>2.73549297890021</v>
      </c>
      <c r="AI35" s="2">
        <v>13.997141567094801</v>
      </c>
      <c r="AJ35" s="2">
        <v>-3.0374302346336401</v>
      </c>
    </row>
    <row r="36" spans="1:36" ht="14.25" customHeight="1">
      <c r="A36" s="21">
        <v>39994</v>
      </c>
      <c r="B36" s="37">
        <v>2.2901051270545398</v>
      </c>
      <c r="C36" s="238">
        <v>4.2857982553637504</v>
      </c>
      <c r="D36" s="2">
        <v>0.6</v>
      </c>
      <c r="E36" s="229">
        <v>14.9117720676161</v>
      </c>
      <c r="F36" s="230">
        <v>-2.0709503294624101</v>
      </c>
      <c r="G36" s="238">
        <v>4.2857982553637504</v>
      </c>
      <c r="H36" s="229">
        <v>14.9117720676161</v>
      </c>
      <c r="I36" s="230">
        <v>-2.0709503294624101</v>
      </c>
      <c r="J36" s="238">
        <v>4.2857982553637504</v>
      </c>
      <c r="K36" s="229">
        <v>14.9117720676161</v>
      </c>
      <c r="L36" s="230">
        <v>-2.0709503294624101</v>
      </c>
      <c r="M36" s="6">
        <f t="shared" si="0"/>
        <v>16.982722397078511</v>
      </c>
      <c r="Y36" s="21">
        <v>39994</v>
      </c>
      <c r="Z36" s="2">
        <v>2.2901051270545398</v>
      </c>
      <c r="AA36" s="2">
        <v>4.2857982553637504</v>
      </c>
      <c r="AB36" s="2">
        <v>0.6</v>
      </c>
      <c r="AC36" s="2">
        <v>14.9117720676161</v>
      </c>
      <c r="AD36" s="2">
        <v>-2.0709503294622298</v>
      </c>
      <c r="AE36" s="2">
        <v>4.2857982553637504</v>
      </c>
      <c r="AF36" s="2">
        <v>14.9117720676161</v>
      </c>
      <c r="AG36" s="2">
        <v>-2.0865704600263499</v>
      </c>
      <c r="AH36" s="2">
        <v>4.2857982553637504</v>
      </c>
      <c r="AI36" s="2">
        <v>14.9117720676161</v>
      </c>
      <c r="AJ36" s="2">
        <v>-2.0996662558544399</v>
      </c>
    </row>
    <row r="37" spans="1:36" ht="14.25" customHeight="1">
      <c r="A37" s="21">
        <v>40086</v>
      </c>
      <c r="B37" s="37">
        <v>-0.97263763456866303</v>
      </c>
      <c r="C37" s="238">
        <v>-3.3909478407267799</v>
      </c>
      <c r="D37" s="2">
        <v>0.3</v>
      </c>
      <c r="E37" s="229">
        <v>15.7000134708374</v>
      </c>
      <c r="F37" s="230">
        <v>-1.2627007338638101</v>
      </c>
      <c r="G37" s="238">
        <v>-3.3909478407267799</v>
      </c>
      <c r="H37" s="229">
        <v>15.7000134708374</v>
      </c>
      <c r="I37" s="230">
        <v>-1.2627007338638101</v>
      </c>
      <c r="J37" s="238">
        <v>-3.3909478407267799</v>
      </c>
      <c r="K37" s="229">
        <v>15.7000134708374</v>
      </c>
      <c r="L37" s="230">
        <v>-1.2627007338638101</v>
      </c>
      <c r="M37" s="6">
        <f t="shared" si="0"/>
        <v>16.962714204701211</v>
      </c>
      <c r="Y37" s="21">
        <v>40086</v>
      </c>
      <c r="Z37" s="2">
        <v>-0.97263763456866303</v>
      </c>
      <c r="AA37" s="2">
        <v>-3.3909478407267799</v>
      </c>
      <c r="AB37" s="2">
        <v>0.3</v>
      </c>
      <c r="AC37" s="2">
        <v>15.7000134708374</v>
      </c>
      <c r="AD37" s="2">
        <v>-1.26270073386368</v>
      </c>
      <c r="AE37" s="2">
        <v>-3.3909478407267799</v>
      </c>
      <c r="AF37" s="2">
        <v>15.7000134708374</v>
      </c>
      <c r="AG37" s="2">
        <v>-1.2785726803277599</v>
      </c>
      <c r="AH37" s="2">
        <v>-3.3909478407267799</v>
      </c>
      <c r="AI37" s="2">
        <v>15.7000134708374</v>
      </c>
      <c r="AJ37" s="2">
        <v>-1.29187990841102</v>
      </c>
    </row>
    <row r="38" spans="1:36" ht="14.25" customHeight="1">
      <c r="A38" s="21">
        <v>40178</v>
      </c>
      <c r="B38" s="37">
        <v>0.56540584857272003</v>
      </c>
      <c r="C38" s="238">
        <v>-2.23996858436798</v>
      </c>
      <c r="D38" s="2">
        <v>1.5</v>
      </c>
      <c r="E38" s="229">
        <v>16.2476120981128</v>
      </c>
      <c r="F38" s="230">
        <v>-0.69767034249272597</v>
      </c>
      <c r="G38" s="238">
        <v>-2.23996858436798</v>
      </c>
      <c r="H38" s="229">
        <v>16.2476120981128</v>
      </c>
      <c r="I38" s="230">
        <v>-0.69767034249272597</v>
      </c>
      <c r="J38" s="238">
        <v>-2.23996858436798</v>
      </c>
      <c r="K38" s="229">
        <v>16.2476120981128</v>
      </c>
      <c r="L38" s="230">
        <v>-0.69767034249272597</v>
      </c>
      <c r="M38" s="6">
        <f t="shared" si="0"/>
        <v>16.945282440605524</v>
      </c>
      <c r="Y38" s="21">
        <v>40178</v>
      </c>
      <c r="Z38" s="2">
        <v>0.56540584857272003</v>
      </c>
      <c r="AA38" s="2">
        <v>-2.23996858436798</v>
      </c>
      <c r="AB38" s="2">
        <v>1.5</v>
      </c>
      <c r="AC38" s="2">
        <v>16.2476120981128</v>
      </c>
      <c r="AD38" s="2">
        <v>-0.69767034249248405</v>
      </c>
      <c r="AE38" s="2">
        <v>-2.23996858436798</v>
      </c>
      <c r="AF38" s="2">
        <v>16.2476120981128</v>
      </c>
      <c r="AG38" s="2">
        <v>-0.71371944340672699</v>
      </c>
      <c r="AH38" s="2">
        <v>-2.23996858436798</v>
      </c>
      <c r="AI38" s="2">
        <v>16.2476120981128</v>
      </c>
      <c r="AJ38" s="2">
        <v>-0.72717554231372195</v>
      </c>
    </row>
    <row r="39" spans="1:36" ht="14.25" customHeight="1">
      <c r="A39" s="21">
        <v>40268</v>
      </c>
      <c r="B39" s="37">
        <v>1.5515254048901399</v>
      </c>
      <c r="C39" s="238">
        <v>-1.5074385696499799</v>
      </c>
      <c r="D39" s="2">
        <v>2</v>
      </c>
      <c r="E39" s="229">
        <v>17.017538562852799</v>
      </c>
      <c r="F39" s="230">
        <v>8.8295169154431905E-2</v>
      </c>
      <c r="G39" s="238">
        <v>-1.5074385696499799</v>
      </c>
      <c r="H39" s="229">
        <v>17.017538562852799</v>
      </c>
      <c r="I39" s="230">
        <v>8.8295169154431905E-2</v>
      </c>
      <c r="J39" s="238">
        <v>-1.5074385696499799</v>
      </c>
      <c r="K39" s="229">
        <v>17.017538562852799</v>
      </c>
      <c r="L39" s="230">
        <v>8.8295169154431905E-2</v>
      </c>
      <c r="M39" s="6">
        <f t="shared" si="0"/>
        <v>16.929243393698368</v>
      </c>
      <c r="Y39" s="21">
        <v>40268</v>
      </c>
      <c r="Z39" s="2">
        <v>1.5515254048901399</v>
      </c>
      <c r="AA39" s="2">
        <v>-1.5074385696499799</v>
      </c>
      <c r="AB39" s="2">
        <v>2</v>
      </c>
      <c r="AC39" s="2">
        <v>17.017538562852799</v>
      </c>
      <c r="AD39" s="2">
        <v>8.8295169154659597E-2</v>
      </c>
      <c r="AE39" s="2">
        <v>-1.5074385696499799</v>
      </c>
      <c r="AF39" s="2">
        <v>17.017538562852799</v>
      </c>
      <c r="AG39" s="2">
        <v>7.2152982679031905E-2</v>
      </c>
      <c r="AH39" s="2">
        <v>-1.5074385696499799</v>
      </c>
      <c r="AI39" s="2">
        <v>17.017538562852799</v>
      </c>
      <c r="AJ39" s="2">
        <v>5.8618459679754799E-2</v>
      </c>
    </row>
    <row r="40" spans="1:36" ht="14.25" customHeight="1">
      <c r="A40" s="21">
        <v>40359</v>
      </c>
      <c r="B40" s="37">
        <v>2.1172435892066002</v>
      </c>
      <c r="C40" s="238">
        <v>0.32931487763192502</v>
      </c>
      <c r="D40" s="2">
        <v>1.9</v>
      </c>
      <c r="E40" s="229">
        <v>17.471147589560498</v>
      </c>
      <c r="F40" s="230">
        <v>0.55776214348708897</v>
      </c>
      <c r="G40" s="238">
        <v>0.32931487763192502</v>
      </c>
      <c r="H40" s="229">
        <v>17.471147589560498</v>
      </c>
      <c r="I40" s="230">
        <v>0.55776214348708897</v>
      </c>
      <c r="J40" s="238">
        <v>0.32931487763192502</v>
      </c>
      <c r="K40" s="229">
        <v>17.471147589560498</v>
      </c>
      <c r="L40" s="230">
        <v>0.55776214348708897</v>
      </c>
      <c r="M40" s="6">
        <f t="shared" si="0"/>
        <v>16.913385446073409</v>
      </c>
      <c r="Y40" s="21">
        <v>40359</v>
      </c>
      <c r="Z40" s="2">
        <v>2.1172435892066002</v>
      </c>
      <c r="AA40" s="2">
        <v>0.32931487763192502</v>
      </c>
      <c r="AB40" s="2">
        <v>1.9</v>
      </c>
      <c r="AC40" s="2">
        <v>17.471147589560498</v>
      </c>
      <c r="AD40" s="2">
        <v>0.55776214348735997</v>
      </c>
      <c r="AE40" s="2">
        <v>0.32931487763192502</v>
      </c>
      <c r="AF40" s="2">
        <v>17.471147589560498</v>
      </c>
      <c r="AG40" s="2">
        <v>0.54162098974214401</v>
      </c>
      <c r="AH40" s="2">
        <v>0.32931487763192502</v>
      </c>
      <c r="AI40" s="2">
        <v>17.471147589560498</v>
      </c>
      <c r="AJ40" s="2">
        <v>0.52808691292606202</v>
      </c>
    </row>
    <row r="41" spans="1:36" ht="14.25" customHeight="1">
      <c r="A41" s="21">
        <v>40451</v>
      </c>
      <c r="B41" s="37">
        <v>1.23596724065358</v>
      </c>
      <c r="C41" s="238">
        <v>1.09767096746032</v>
      </c>
      <c r="D41" s="2">
        <v>2.2000000000000002</v>
      </c>
      <c r="E41" s="229">
        <v>17.822467154531701</v>
      </c>
      <c r="F41" s="230">
        <v>0.92596664290096997</v>
      </c>
      <c r="G41" s="238">
        <v>1.09767096746032</v>
      </c>
      <c r="H41" s="229">
        <v>17.822467154531701</v>
      </c>
      <c r="I41" s="230">
        <v>0.92596664290096997</v>
      </c>
      <c r="J41" s="238">
        <v>1.09767096746032</v>
      </c>
      <c r="K41" s="229">
        <v>17.822467154531701</v>
      </c>
      <c r="L41" s="230">
        <v>0.92596664290096997</v>
      </c>
      <c r="M41" s="6">
        <f t="shared" si="0"/>
        <v>16.89650051163073</v>
      </c>
      <c r="Y41" s="21">
        <v>40451</v>
      </c>
      <c r="Z41" s="2">
        <v>1.23596724065358</v>
      </c>
      <c r="AA41" s="2">
        <v>1.09767096746032</v>
      </c>
      <c r="AB41" s="2">
        <v>2.2000000000000002</v>
      </c>
      <c r="AC41" s="2">
        <v>17.822467154531701</v>
      </c>
      <c r="AD41" s="2">
        <v>0.92596664290121999</v>
      </c>
      <c r="AE41" s="2">
        <v>1.09767096746032</v>
      </c>
      <c r="AF41" s="2">
        <v>17.822467154531701</v>
      </c>
      <c r="AG41" s="2">
        <v>0.90993133526864001</v>
      </c>
      <c r="AH41" s="2">
        <v>1.09767096746032</v>
      </c>
      <c r="AI41" s="2">
        <v>17.822467154531701</v>
      </c>
      <c r="AJ41" s="2">
        <v>0.89648553983611701</v>
      </c>
    </row>
    <row r="42" spans="1:36" ht="14.25" customHeight="1">
      <c r="A42" s="21">
        <v>40543</v>
      </c>
      <c r="B42" s="37">
        <v>2.6196000605869698</v>
      </c>
      <c r="C42" s="238">
        <v>0.40091975635174698</v>
      </c>
      <c r="D42" s="2">
        <v>2.7</v>
      </c>
      <c r="E42" s="229">
        <v>18.033735238627202</v>
      </c>
      <c r="F42" s="230">
        <v>1.15633242387073</v>
      </c>
      <c r="G42" s="238">
        <v>0.40091975635174698</v>
      </c>
      <c r="H42" s="229">
        <v>18.033735238627202</v>
      </c>
      <c r="I42" s="230">
        <v>1.15633242387073</v>
      </c>
      <c r="J42" s="238">
        <v>0.40091975635174698</v>
      </c>
      <c r="K42" s="229">
        <v>18.033735238627202</v>
      </c>
      <c r="L42" s="230">
        <v>1.15633242387073</v>
      </c>
      <c r="M42" s="6">
        <f t="shared" si="0"/>
        <v>16.877402814756472</v>
      </c>
      <c r="Y42" s="21">
        <v>40543</v>
      </c>
      <c r="Z42" s="2">
        <v>2.6196000605869698</v>
      </c>
      <c r="AA42" s="2">
        <v>0.40091975635174698</v>
      </c>
      <c r="AB42" s="2">
        <v>2.7</v>
      </c>
      <c r="AC42" s="2">
        <v>18.033735238627202</v>
      </c>
      <c r="AD42" s="2">
        <v>1.1563324238710999</v>
      </c>
      <c r="AE42" s="2">
        <v>0.40091975635174698</v>
      </c>
      <c r="AF42" s="2">
        <v>18.033735238627202</v>
      </c>
      <c r="AG42" s="2">
        <v>1.1405191164699</v>
      </c>
      <c r="AH42" s="2">
        <v>0.40091975635174698</v>
      </c>
      <c r="AI42" s="2">
        <v>18.033735238627202</v>
      </c>
      <c r="AJ42" s="2">
        <v>1.1272589439094201</v>
      </c>
    </row>
    <row r="43" spans="1:36" ht="14.25" customHeight="1">
      <c r="A43" s="21">
        <v>40633</v>
      </c>
      <c r="B43" s="37">
        <v>4.3833289769774</v>
      </c>
      <c r="C43" s="238">
        <v>4.94944455970459</v>
      </c>
      <c r="D43" s="2">
        <v>3.1</v>
      </c>
      <c r="E43" s="229">
        <v>17.768909337948799</v>
      </c>
      <c r="F43" s="230">
        <v>0.91396571944666205</v>
      </c>
      <c r="G43" s="238">
        <v>4.94944455970459</v>
      </c>
      <c r="H43" s="229">
        <v>17.768909337948799</v>
      </c>
      <c r="I43" s="230">
        <v>0.91396571944666205</v>
      </c>
      <c r="J43" s="238">
        <v>4.94944455970459</v>
      </c>
      <c r="K43" s="229">
        <v>17.768909337948799</v>
      </c>
      <c r="L43" s="230">
        <v>0.91396571944666205</v>
      </c>
      <c r="M43" s="6">
        <f t="shared" si="0"/>
        <v>16.854943618502137</v>
      </c>
      <c r="Y43" s="21">
        <v>40633</v>
      </c>
      <c r="Z43" s="2">
        <v>4.3833289769774</v>
      </c>
      <c r="AA43" s="2">
        <v>4.94944455970459</v>
      </c>
      <c r="AB43" s="2">
        <v>3.1</v>
      </c>
      <c r="AC43" s="2">
        <v>17.768909337948799</v>
      </c>
      <c r="AD43" s="2">
        <v>0.91396571944707405</v>
      </c>
      <c r="AE43" s="2">
        <v>4.94944455970459</v>
      </c>
      <c r="AF43" s="2">
        <v>17.768909337948799</v>
      </c>
      <c r="AG43" s="2">
        <v>0.89850254854500999</v>
      </c>
      <c r="AH43" s="2">
        <v>4.94944455970459</v>
      </c>
      <c r="AI43" s="2">
        <v>17.768909337948799</v>
      </c>
      <c r="AJ43" s="2">
        <v>0.88553538446470503</v>
      </c>
    </row>
    <row r="44" spans="1:36" ht="14.25" customHeight="1">
      <c r="A44" s="21">
        <v>40724</v>
      </c>
      <c r="B44" s="37">
        <v>0.23292058631618801</v>
      </c>
      <c r="C44" s="238">
        <v>0.84441733025013599</v>
      </c>
      <c r="D44" s="2">
        <v>3.1</v>
      </c>
      <c r="E44" s="229">
        <v>17.870186063390602</v>
      </c>
      <c r="F44" s="230">
        <v>1.0421656241741499</v>
      </c>
      <c r="G44" s="238">
        <v>0.84441733025013599</v>
      </c>
      <c r="H44" s="229">
        <v>17.870186063390602</v>
      </c>
      <c r="I44" s="230">
        <v>1.0421656241741499</v>
      </c>
      <c r="J44" s="238">
        <v>0.84441733025013599</v>
      </c>
      <c r="K44" s="229">
        <v>17.870186063390602</v>
      </c>
      <c r="L44" s="230">
        <v>1.0421656241741499</v>
      </c>
      <c r="M44" s="6">
        <f t="shared" si="0"/>
        <v>16.828020439216452</v>
      </c>
      <c r="Y44" s="21">
        <v>40724</v>
      </c>
      <c r="Z44" s="2">
        <v>0.23292058631618801</v>
      </c>
      <c r="AA44" s="2">
        <v>0.84441733025013599</v>
      </c>
      <c r="AB44" s="2">
        <v>3.1</v>
      </c>
      <c r="AC44" s="2">
        <v>17.870186063390602</v>
      </c>
      <c r="AD44" s="2">
        <v>1.04216562417457</v>
      </c>
      <c r="AE44" s="2">
        <v>0.84441733025013599</v>
      </c>
      <c r="AF44" s="2">
        <v>17.870186063390602</v>
      </c>
      <c r="AG44" s="2">
        <v>1.02719334072055</v>
      </c>
      <c r="AH44" s="2">
        <v>0.84441733025013599</v>
      </c>
      <c r="AI44" s="2">
        <v>17.870186063390602</v>
      </c>
      <c r="AJ44" s="2">
        <v>1.0146371452553999</v>
      </c>
    </row>
    <row r="45" spans="1:36" ht="14.25" customHeight="1">
      <c r="A45" s="21">
        <v>40816</v>
      </c>
      <c r="B45" s="37">
        <v>1.06628971346665</v>
      </c>
      <c r="C45" s="238">
        <v>1.63396212262263</v>
      </c>
      <c r="D45" s="2">
        <v>3.3</v>
      </c>
      <c r="E45" s="229">
        <v>17.796638235779799</v>
      </c>
      <c r="F45" s="230">
        <v>1.0010708839029301</v>
      </c>
      <c r="G45" s="238">
        <v>1.63396212262263</v>
      </c>
      <c r="H45" s="229">
        <v>17.796638235779799</v>
      </c>
      <c r="I45" s="230">
        <v>1.0010708839029301</v>
      </c>
      <c r="J45" s="238">
        <v>1.63396212262263</v>
      </c>
      <c r="K45" s="229">
        <v>17.796638235779799</v>
      </c>
      <c r="L45" s="230">
        <v>1.0010708839029301</v>
      </c>
      <c r="M45" s="6">
        <f t="shared" si="0"/>
        <v>16.795567351876869</v>
      </c>
      <c r="Y45" s="21">
        <v>40816</v>
      </c>
      <c r="Z45" s="2">
        <v>1.06628971346665</v>
      </c>
      <c r="AA45" s="2">
        <v>1.63396212262263</v>
      </c>
      <c r="AB45" s="2">
        <v>3.3</v>
      </c>
      <c r="AC45" s="2">
        <v>17.796638235779799</v>
      </c>
      <c r="AD45" s="2">
        <v>1.00107088390326</v>
      </c>
      <c r="AE45" s="2">
        <v>1.63396212262263</v>
      </c>
      <c r="AF45" s="2">
        <v>17.796638235779799</v>
      </c>
      <c r="AG45" s="2">
        <v>0.98674347205416701</v>
      </c>
      <c r="AH45" s="2">
        <v>1.63396212262263</v>
      </c>
      <c r="AI45" s="2">
        <v>17.796638235779799</v>
      </c>
      <c r="AJ45" s="2">
        <v>0.97472729855240003</v>
      </c>
    </row>
    <row r="46" spans="1:36" ht="14.25" customHeight="1">
      <c r="A46" s="21">
        <v>40908</v>
      </c>
      <c r="B46" s="37">
        <v>2.8654711558381099</v>
      </c>
      <c r="C46" s="238">
        <v>4.2568298203361099</v>
      </c>
      <c r="D46" s="2">
        <v>3</v>
      </c>
      <c r="E46" s="229">
        <v>17.814191796193999</v>
      </c>
      <c r="F46" s="230">
        <v>1.05763167810818</v>
      </c>
      <c r="G46" s="238">
        <v>4.2568298203361099</v>
      </c>
      <c r="H46" s="229">
        <v>17.814191796193999</v>
      </c>
      <c r="I46" s="230">
        <v>1.05763167810818</v>
      </c>
      <c r="J46" s="238">
        <v>4.2568298203361099</v>
      </c>
      <c r="K46" s="229">
        <v>17.814191796193999</v>
      </c>
      <c r="L46" s="230">
        <v>1.05763167810818</v>
      </c>
      <c r="M46" s="6">
        <f t="shared" si="0"/>
        <v>16.756560118085819</v>
      </c>
      <c r="Y46" s="21">
        <v>40908</v>
      </c>
      <c r="Z46" s="2">
        <v>2.8654711558381099</v>
      </c>
      <c r="AA46" s="2">
        <v>4.2568298203361099</v>
      </c>
      <c r="AB46" s="2">
        <v>3</v>
      </c>
      <c r="AC46" s="2">
        <v>17.814191796193999</v>
      </c>
      <c r="AD46" s="2">
        <v>1.05763167810853</v>
      </c>
      <c r="AE46" s="2">
        <v>4.2568298203361099</v>
      </c>
      <c r="AF46" s="2">
        <v>17.814191796193999</v>
      </c>
      <c r="AG46" s="2">
        <v>1.04411695412074</v>
      </c>
      <c r="AH46" s="2">
        <v>4.2568298203361099</v>
      </c>
      <c r="AI46" s="2">
        <v>17.814191796193999</v>
      </c>
      <c r="AJ46" s="2">
        <v>1.03278145139165</v>
      </c>
    </row>
    <row r="47" spans="1:36" ht="14.25" customHeight="1">
      <c r="A47" s="21">
        <v>40999</v>
      </c>
      <c r="B47" s="37">
        <v>3.9054501191205602</v>
      </c>
      <c r="C47" s="238">
        <v>-0.38330001828307297</v>
      </c>
      <c r="D47" s="2">
        <v>2.9</v>
      </c>
      <c r="E47" s="229">
        <v>18.2390217483842</v>
      </c>
      <c r="F47" s="230">
        <v>1.5290072061034501</v>
      </c>
      <c r="G47" s="238">
        <v>-0.38330001828307297</v>
      </c>
      <c r="H47" s="229">
        <v>18.2390217483842</v>
      </c>
      <c r="I47" s="230">
        <v>1.5290072061034501</v>
      </c>
      <c r="J47" s="238">
        <v>-0.38330001828307297</v>
      </c>
      <c r="K47" s="229">
        <v>18.2390217483842</v>
      </c>
      <c r="L47" s="230">
        <v>1.5290072061034501</v>
      </c>
      <c r="M47" s="6">
        <f t="shared" si="0"/>
        <v>16.710014542280749</v>
      </c>
      <c r="Y47" s="21">
        <v>40999</v>
      </c>
      <c r="Z47" s="2">
        <v>3.9054501191205602</v>
      </c>
      <c r="AA47" s="2">
        <v>-0.38330001828307297</v>
      </c>
      <c r="AB47" s="2">
        <v>2.9</v>
      </c>
      <c r="AC47" s="2">
        <v>18.2390217483842</v>
      </c>
      <c r="AD47" s="2">
        <v>1.5290072061037101</v>
      </c>
      <c r="AE47" s="2">
        <v>-0.38330001828307297</v>
      </c>
      <c r="AF47" s="2">
        <v>18.2390217483842</v>
      </c>
      <c r="AG47" s="2">
        <v>1.5164873914294901</v>
      </c>
      <c r="AH47" s="2">
        <v>-0.38330001828307297</v>
      </c>
      <c r="AI47" s="2">
        <v>18.2390217483842</v>
      </c>
      <c r="AJ47" s="2">
        <v>1.5059852843904</v>
      </c>
    </row>
    <row r="48" spans="1:36" ht="14.25" customHeight="1">
      <c r="A48" s="21">
        <v>41090</v>
      </c>
      <c r="B48" s="37">
        <v>7.6712379978313798</v>
      </c>
      <c r="C48" s="238">
        <v>2.6391713680750799</v>
      </c>
      <c r="D48" s="2">
        <v>2.5</v>
      </c>
      <c r="E48" s="229">
        <v>18.457329438886799</v>
      </c>
      <c r="F48" s="230">
        <v>1.80234070472</v>
      </c>
      <c r="G48" s="238">
        <v>2.6391713680750799</v>
      </c>
      <c r="H48" s="229">
        <v>18.457329438886799</v>
      </c>
      <c r="I48" s="230">
        <v>1.80234070472</v>
      </c>
      <c r="J48" s="238">
        <v>2.6391713680750799</v>
      </c>
      <c r="K48" s="229">
        <v>18.457329438886799</v>
      </c>
      <c r="L48" s="230">
        <v>1.80234070472</v>
      </c>
      <c r="M48" s="6">
        <f t="shared" si="0"/>
        <v>16.6549887341668</v>
      </c>
      <c r="Y48" s="21">
        <v>41090</v>
      </c>
      <c r="Z48" s="2">
        <v>7.6712379978313798</v>
      </c>
      <c r="AA48" s="2">
        <v>2.6391713680750799</v>
      </c>
      <c r="AB48" s="2">
        <v>2.5</v>
      </c>
      <c r="AC48" s="2">
        <v>18.457329438886799</v>
      </c>
      <c r="AD48" s="2">
        <v>1.80234070472</v>
      </c>
      <c r="AE48" s="2">
        <v>2.6391713680750799</v>
      </c>
      <c r="AF48" s="2">
        <v>18.457329438886799</v>
      </c>
      <c r="AG48" s="2">
        <v>1.79101296659654</v>
      </c>
      <c r="AH48" s="2">
        <v>2.6391713680750799</v>
      </c>
      <c r="AI48" s="2">
        <v>18.457329438886799</v>
      </c>
      <c r="AJ48" s="2">
        <v>1.78150950969299</v>
      </c>
    </row>
    <row r="49" spans="1:36" ht="14.25" customHeight="1">
      <c r="A49" s="21">
        <v>41182</v>
      </c>
      <c r="B49" s="37">
        <v>4.9995186122986404</v>
      </c>
      <c r="C49" s="238">
        <v>1.13036133162678</v>
      </c>
      <c r="D49" s="2">
        <v>2.7</v>
      </c>
      <c r="E49" s="229">
        <v>19.396733635784798</v>
      </c>
      <c r="F49" s="230">
        <v>2.8061316720477301</v>
      </c>
      <c r="G49" s="238">
        <v>1.13036133162678</v>
      </c>
      <c r="H49" s="229">
        <v>19.396733635784798</v>
      </c>
      <c r="I49" s="230">
        <v>2.8061316720477301</v>
      </c>
      <c r="J49" s="238">
        <v>1.13036133162678</v>
      </c>
      <c r="K49" s="229">
        <v>19.396733635784798</v>
      </c>
      <c r="L49" s="230">
        <v>2.8061316720477301</v>
      </c>
      <c r="M49" s="6">
        <f t="shared" si="0"/>
        <v>16.590601963737068</v>
      </c>
      <c r="Y49" s="21">
        <v>41182</v>
      </c>
      <c r="Z49" s="2">
        <v>4.9995186122986404</v>
      </c>
      <c r="AA49" s="2">
        <v>1.13036133162678</v>
      </c>
      <c r="AB49" s="2">
        <v>2.7</v>
      </c>
      <c r="AC49" s="2">
        <v>19.396733635784798</v>
      </c>
      <c r="AD49" s="2">
        <v>2.8061316720477798</v>
      </c>
      <c r="AE49" s="2">
        <v>1.13036133162678</v>
      </c>
      <c r="AF49" s="2">
        <v>19.396733635784798</v>
      </c>
      <c r="AG49" s="2">
        <v>2.7962086242892501</v>
      </c>
      <c r="AH49" s="2">
        <v>1.13036133162678</v>
      </c>
      <c r="AI49" s="2">
        <v>19.396733635784798</v>
      </c>
      <c r="AJ49" s="2">
        <v>2.7878820215793101</v>
      </c>
    </row>
    <row r="50" spans="1:36" ht="14.25" customHeight="1">
      <c r="A50" s="21">
        <v>41274</v>
      </c>
      <c r="B50" s="37">
        <v>1.6536227428022501</v>
      </c>
      <c r="C50" s="238">
        <v>4.5770605880136399</v>
      </c>
      <c r="D50" s="2">
        <v>2.2999999999999998</v>
      </c>
      <c r="E50" s="229">
        <v>20.0454070255993</v>
      </c>
      <c r="F50" s="230">
        <v>3.5293614309867798</v>
      </c>
      <c r="G50" s="238">
        <v>4.5770605880136399</v>
      </c>
      <c r="H50" s="229">
        <v>20.0454070255993</v>
      </c>
      <c r="I50" s="230">
        <v>3.5293614309867798</v>
      </c>
      <c r="J50" s="238">
        <v>4.5770605880136399</v>
      </c>
      <c r="K50" s="229">
        <v>20.0454070255993</v>
      </c>
      <c r="L50" s="230">
        <v>3.5293614309867798</v>
      </c>
      <c r="M50" s="6">
        <f t="shared" si="0"/>
        <v>16.516045594612521</v>
      </c>
      <c r="Y50" s="21">
        <v>41274</v>
      </c>
      <c r="Z50" s="2">
        <v>1.6536227428022501</v>
      </c>
      <c r="AA50" s="2">
        <v>4.5770605880136399</v>
      </c>
      <c r="AB50" s="2">
        <v>2.2999999999999998</v>
      </c>
      <c r="AC50" s="2">
        <v>20.0454070255993</v>
      </c>
      <c r="AD50" s="2">
        <v>3.5293614309866501</v>
      </c>
      <c r="AE50" s="2">
        <v>4.5770605880136399</v>
      </c>
      <c r="AF50" s="2">
        <v>20.0454070255993</v>
      </c>
      <c r="AG50" s="2">
        <v>3.5210715870943199</v>
      </c>
      <c r="AH50" s="2">
        <v>4.5770605880136399</v>
      </c>
      <c r="AI50" s="2">
        <v>20.0454070255993</v>
      </c>
      <c r="AJ50" s="2">
        <v>3.5141133723867299</v>
      </c>
    </row>
    <row r="51" spans="1:36" ht="14.25" customHeight="1">
      <c r="A51" s="21">
        <v>41364</v>
      </c>
      <c r="B51" s="37">
        <v>0.74845934397091995</v>
      </c>
      <c r="C51" s="238">
        <v>0.227323818357239</v>
      </c>
      <c r="D51" s="2">
        <v>1.9</v>
      </c>
      <c r="E51" s="229">
        <v>20.0070900081632</v>
      </c>
      <c r="F51" s="230">
        <v>3.5764667724815302</v>
      </c>
      <c r="G51" s="238">
        <v>0.227323818357239</v>
      </c>
      <c r="H51" s="229">
        <v>20.0070900081632</v>
      </c>
      <c r="I51" s="230">
        <v>3.5764667724815302</v>
      </c>
      <c r="J51" s="238">
        <v>0.227323818357239</v>
      </c>
      <c r="K51" s="229">
        <v>20.0070900081632</v>
      </c>
      <c r="L51" s="230">
        <v>3.5764667724815302</v>
      </c>
      <c r="M51" s="6">
        <f t="shared" si="0"/>
        <v>16.430623235681669</v>
      </c>
      <c r="Y51" s="21">
        <v>41364</v>
      </c>
      <c r="Z51" s="2">
        <v>0.74845934397091995</v>
      </c>
      <c r="AA51" s="2">
        <v>0.227323818357239</v>
      </c>
      <c r="AB51" s="2">
        <v>1.9</v>
      </c>
      <c r="AC51" s="2">
        <v>20.0070900081632</v>
      </c>
      <c r="AD51" s="2">
        <v>3.5764667724813601</v>
      </c>
      <c r="AE51" s="2">
        <v>0.227323818357239</v>
      </c>
      <c r="AF51" s="2">
        <v>20.0070900081632</v>
      </c>
      <c r="AG51" s="2">
        <v>3.5700549425653501</v>
      </c>
      <c r="AH51" s="2">
        <v>0.227323818357239</v>
      </c>
      <c r="AI51" s="2">
        <v>20.0070900081632</v>
      </c>
      <c r="AJ51" s="2">
        <v>3.5646703124835102</v>
      </c>
    </row>
    <row r="52" spans="1:36" ht="14.25" customHeight="1">
      <c r="A52" s="21">
        <v>41455</v>
      </c>
      <c r="B52" s="37">
        <v>0.91353480298730405</v>
      </c>
      <c r="C52" s="238">
        <v>2.4187600488176</v>
      </c>
      <c r="D52" s="2">
        <v>1.7</v>
      </c>
      <c r="E52" s="229">
        <v>20.091930313516102</v>
      </c>
      <c r="F52" s="230">
        <v>3.7581506432262501</v>
      </c>
      <c r="G52" s="238">
        <v>2.4187600488176</v>
      </c>
      <c r="H52" s="229">
        <v>20.091930313516102</v>
      </c>
      <c r="I52" s="230">
        <v>3.7581506432262501</v>
      </c>
      <c r="J52" s="238">
        <v>2.4187600488176</v>
      </c>
      <c r="K52" s="229">
        <v>20.091930313516102</v>
      </c>
      <c r="L52" s="230">
        <v>3.7581506432262501</v>
      </c>
      <c r="M52" s="6">
        <f t="shared" si="0"/>
        <v>16.33377967028985</v>
      </c>
      <c r="Y52" s="21">
        <v>41455</v>
      </c>
      <c r="Z52" s="2">
        <v>0.91353480298730405</v>
      </c>
      <c r="AA52" s="2">
        <v>2.4187600488176</v>
      </c>
      <c r="AB52" s="2">
        <v>1.7</v>
      </c>
      <c r="AC52" s="2">
        <v>20.091930313516102</v>
      </c>
      <c r="AD52" s="2">
        <v>3.7581506432262501</v>
      </c>
      <c r="AE52" s="2">
        <v>2.4187600488176</v>
      </c>
      <c r="AF52" s="2">
        <v>20.091930313516102</v>
      </c>
      <c r="AG52" s="2">
        <v>3.75387826559923</v>
      </c>
      <c r="AH52" s="2">
        <v>2.4187600488176</v>
      </c>
      <c r="AI52" s="2">
        <v>20.091930313516102</v>
      </c>
      <c r="AJ52" s="2">
        <v>3.7502863579100598</v>
      </c>
    </row>
    <row r="53" spans="1:36" ht="14.25" customHeight="1">
      <c r="A53" s="21">
        <v>41547</v>
      </c>
      <c r="B53" s="37">
        <v>1.1007277672321101</v>
      </c>
      <c r="C53" s="238">
        <v>1.11423435854894</v>
      </c>
      <c r="D53" s="2">
        <v>1.3</v>
      </c>
      <c r="E53" s="229">
        <v>20.343685975917701</v>
      </c>
      <c r="F53" s="230">
        <v>4.1185832354644001</v>
      </c>
      <c r="G53" s="238">
        <v>1.11423435854894</v>
      </c>
      <c r="H53" s="229">
        <v>20.343685975917701</v>
      </c>
      <c r="I53" s="230">
        <v>4.1185832354644001</v>
      </c>
      <c r="J53" s="238">
        <v>1.11423435854894</v>
      </c>
      <c r="K53" s="229">
        <v>20.343685975917701</v>
      </c>
      <c r="L53" s="230">
        <v>4.1185832354644001</v>
      </c>
      <c r="M53" s="6">
        <f t="shared" si="0"/>
        <v>16.225102740453302</v>
      </c>
      <c r="Y53" s="21">
        <v>41547</v>
      </c>
      <c r="Z53" s="2">
        <v>1.1007277672321101</v>
      </c>
      <c r="AA53" s="2">
        <v>1.11423435854894</v>
      </c>
      <c r="AB53" s="2">
        <v>1.3</v>
      </c>
      <c r="AC53" s="2">
        <v>20.343685975917701</v>
      </c>
      <c r="AD53" s="2">
        <v>4.1185832354644001</v>
      </c>
      <c r="AE53" s="2">
        <v>1.11423435854894</v>
      </c>
      <c r="AF53" s="2">
        <v>20.343685975917701</v>
      </c>
      <c r="AG53" s="2">
        <v>4.1167286331148798</v>
      </c>
      <c r="AH53" s="2">
        <v>1.11423435854894</v>
      </c>
      <c r="AI53" s="2">
        <v>20.343685975917701</v>
      </c>
      <c r="AJ53" s="2">
        <v>4.1151627421137302</v>
      </c>
    </row>
    <row r="54" spans="1:36" ht="14.25" customHeight="1">
      <c r="A54" s="21">
        <v>41639</v>
      </c>
      <c r="B54" s="37">
        <v>-1.7715228227275699</v>
      </c>
      <c r="C54" s="238">
        <v>-1.7178259569796801</v>
      </c>
      <c r="D54" s="2">
        <v>1</v>
      </c>
      <c r="E54" s="229">
        <v>20.5756337923813</v>
      </c>
      <c r="F54" s="230">
        <v>4.4713031781670702</v>
      </c>
      <c r="G54" s="238">
        <v>-1.7178259569796801</v>
      </c>
      <c r="H54" s="229">
        <v>20.5756337923813</v>
      </c>
      <c r="I54" s="230">
        <v>4.4713031781670702</v>
      </c>
      <c r="J54" s="238">
        <v>-1.7178259569796801</v>
      </c>
      <c r="K54" s="229">
        <v>20.5756337923813</v>
      </c>
      <c r="L54" s="230">
        <v>4.4713031781670702</v>
      </c>
      <c r="M54" s="6">
        <f t="shared" si="0"/>
        <v>16.104330614214231</v>
      </c>
      <c r="Y54" s="21">
        <v>41639</v>
      </c>
      <c r="Z54" s="2">
        <v>-1.7715228227275699</v>
      </c>
      <c r="AA54" s="2">
        <v>-1.7178259569796801</v>
      </c>
      <c r="AB54" s="2">
        <v>1</v>
      </c>
      <c r="AC54" s="2">
        <v>20.5756337923813</v>
      </c>
      <c r="AD54" s="2">
        <v>4.4713031781670196</v>
      </c>
      <c r="AE54" s="2">
        <v>-1.7178259569796801</v>
      </c>
      <c r="AF54" s="2">
        <v>20.5756337923813</v>
      </c>
      <c r="AG54" s="2">
        <v>4.4721617296544798</v>
      </c>
      <c r="AH54" s="2">
        <v>-1.7178259569796801</v>
      </c>
      <c r="AI54" s="2">
        <v>20.5756337923813</v>
      </c>
      <c r="AJ54" s="2">
        <v>4.4728694498419204</v>
      </c>
    </row>
    <row r="55" spans="1:36" ht="14.25" customHeight="1">
      <c r="A55" s="21">
        <v>41729</v>
      </c>
      <c r="B55" s="37">
        <v>-1.60999173052891</v>
      </c>
      <c r="C55" s="238">
        <v>-0.64622206202604704</v>
      </c>
      <c r="D55" s="2">
        <v>0.6</v>
      </c>
      <c r="E55" s="229">
        <v>20.7203756864252</v>
      </c>
      <c r="F55" s="230">
        <v>4.7490094834812604</v>
      </c>
      <c r="G55" s="238">
        <v>-0.64622206202604704</v>
      </c>
      <c r="H55" s="229">
        <v>20.7203756864252</v>
      </c>
      <c r="I55" s="230">
        <v>4.7490094834812604</v>
      </c>
      <c r="J55" s="238">
        <v>-0.64622206202604704</v>
      </c>
      <c r="K55" s="229">
        <v>20.7203756864252</v>
      </c>
      <c r="L55" s="230">
        <v>4.7490094834812604</v>
      </c>
      <c r="M55" s="6">
        <f t="shared" si="0"/>
        <v>15.97136620294394</v>
      </c>
      <c r="Y55" s="21">
        <v>41729</v>
      </c>
      <c r="Z55" s="2">
        <v>-1.60999173052891</v>
      </c>
      <c r="AA55" s="2">
        <v>-0.64622206202604704</v>
      </c>
      <c r="AB55" s="2">
        <v>0.6</v>
      </c>
      <c r="AC55" s="2">
        <v>20.7203756864252</v>
      </c>
      <c r="AD55" s="2">
        <v>4.7490094834812604</v>
      </c>
      <c r="AE55" s="2">
        <v>-0.64622206202604704</v>
      </c>
      <c r="AF55" s="2">
        <v>20.7203756864252</v>
      </c>
      <c r="AG55" s="2">
        <v>4.7528936971201396</v>
      </c>
      <c r="AH55" s="2">
        <v>-0.64622206202604704</v>
      </c>
      <c r="AI55" s="2">
        <v>20.7203756864252</v>
      </c>
      <c r="AJ55" s="2">
        <v>4.7561369858368998</v>
      </c>
    </row>
    <row r="56" spans="1:36" ht="14.25" customHeight="1">
      <c r="A56" s="21">
        <v>41820</v>
      </c>
      <c r="B56" s="37">
        <v>0.75708881152312102</v>
      </c>
      <c r="C56" s="238">
        <v>-1.83995759015149</v>
      </c>
      <c r="D56" s="2">
        <v>0.7</v>
      </c>
      <c r="E56" s="229">
        <v>19.758969964296899</v>
      </c>
      <c r="F56" s="230">
        <v>3.9326786941559302</v>
      </c>
      <c r="G56" s="238">
        <v>-1.83995759015149</v>
      </c>
      <c r="H56" s="229">
        <v>19.758969964296899</v>
      </c>
      <c r="I56" s="230">
        <v>3.9326786941559302</v>
      </c>
      <c r="J56" s="238">
        <v>-1.83995759015149</v>
      </c>
      <c r="K56" s="229">
        <v>19.758969964296899</v>
      </c>
      <c r="L56" s="230">
        <v>3.9326786941559302</v>
      </c>
      <c r="M56" s="6">
        <f t="shared" si="0"/>
        <v>15.826291270140969</v>
      </c>
      <c r="Y56" s="21">
        <v>41820</v>
      </c>
      <c r="Z56" s="2">
        <v>0.75708881152312102</v>
      </c>
      <c r="AA56" s="2">
        <v>-1.83995759015149</v>
      </c>
      <c r="AB56" s="2">
        <v>0.7</v>
      </c>
      <c r="AC56" s="2">
        <v>19.758969964296899</v>
      </c>
      <c r="AD56" s="2">
        <v>3.9326786941557201</v>
      </c>
      <c r="AE56" s="2">
        <v>-1.83995759015149</v>
      </c>
      <c r="AF56" s="2">
        <v>19.758969964296899</v>
      </c>
      <c r="AG56" s="2">
        <v>3.9399181736733202</v>
      </c>
      <c r="AH56" s="2">
        <v>-1.83995759015149</v>
      </c>
      <c r="AI56" s="2">
        <v>19.758969964296899</v>
      </c>
      <c r="AJ56" s="2">
        <v>3.9459733227922298</v>
      </c>
    </row>
    <row r="57" spans="1:36" ht="14.25" customHeight="1">
      <c r="A57" s="21">
        <v>41912</v>
      </c>
      <c r="B57" s="37">
        <v>1.6031455680639399</v>
      </c>
      <c r="C57" s="238">
        <v>1.0741991829631401</v>
      </c>
      <c r="D57" s="2">
        <v>0.4</v>
      </c>
      <c r="E57" s="229">
        <v>18.929195433406399</v>
      </c>
      <c r="F57" s="230">
        <v>3.2598178937229201</v>
      </c>
      <c r="G57" s="238">
        <v>1.0741991829631401</v>
      </c>
      <c r="H57" s="229">
        <v>18.929195433406399</v>
      </c>
      <c r="I57" s="230">
        <v>3.2598178937229201</v>
      </c>
      <c r="J57" s="238">
        <v>1.0741991829631401</v>
      </c>
      <c r="K57" s="229">
        <v>18.929195433406399</v>
      </c>
      <c r="L57" s="230">
        <v>3.2598178937229201</v>
      </c>
      <c r="M57" s="6">
        <f t="shared" si="0"/>
        <v>15.669377539683479</v>
      </c>
      <c r="Y57" s="21">
        <v>41912</v>
      </c>
      <c r="Z57" s="2">
        <v>1.6031455680639399</v>
      </c>
      <c r="AA57" s="2">
        <v>1.0741991829631401</v>
      </c>
      <c r="AB57" s="2">
        <v>0.4</v>
      </c>
      <c r="AC57" s="2">
        <v>18.929195433406399</v>
      </c>
      <c r="AD57" s="2">
        <v>3.2598178937226998</v>
      </c>
      <c r="AE57" s="2">
        <v>1.0741991829631401</v>
      </c>
      <c r="AF57" s="2">
        <v>18.929195433406399</v>
      </c>
      <c r="AG57" s="2">
        <v>3.2707591828906102</v>
      </c>
      <c r="AH57" s="2">
        <v>1.0741991829631401</v>
      </c>
      <c r="AI57" s="2">
        <v>18.929195433406399</v>
      </c>
      <c r="AJ57" s="2">
        <v>3.2799166890847098</v>
      </c>
    </row>
    <row r="58" spans="1:36" ht="14.25" customHeight="1">
      <c r="A58" s="21">
        <v>42004</v>
      </c>
      <c r="B58" s="37">
        <v>-2.9084523933482598</v>
      </c>
      <c r="C58" s="238">
        <v>-0.242371499586191</v>
      </c>
      <c r="D58" s="2">
        <v>-0.1</v>
      </c>
      <c r="E58" s="229">
        <v>18.431590603838</v>
      </c>
      <c r="F58" s="230">
        <v>2.9305365612408298</v>
      </c>
      <c r="G58" s="238">
        <v>-0.242371499586191</v>
      </c>
      <c r="H58" s="229">
        <v>18.431590603838</v>
      </c>
      <c r="I58" s="230">
        <v>2.9305365612408298</v>
      </c>
      <c r="J58" s="238">
        <v>-0.242371499586191</v>
      </c>
      <c r="K58" s="229">
        <v>18.431590603838</v>
      </c>
      <c r="L58" s="230">
        <v>2.9305365612408298</v>
      </c>
      <c r="M58" s="6">
        <f t="shared" si="0"/>
        <v>15.50105404259717</v>
      </c>
      <c r="Y58" s="21">
        <v>42004</v>
      </c>
      <c r="Z58" s="2">
        <v>-2.9084523933482598</v>
      </c>
      <c r="AA58" s="2">
        <v>-0.242371499586191</v>
      </c>
      <c r="AB58" s="2">
        <v>-0.1</v>
      </c>
      <c r="AC58" s="2">
        <v>18.431590603838</v>
      </c>
      <c r="AD58" s="2">
        <v>2.93053656124065</v>
      </c>
      <c r="AE58" s="2">
        <v>-0.242371499586191</v>
      </c>
      <c r="AF58" s="2">
        <v>18.431590603838</v>
      </c>
      <c r="AG58" s="2">
        <v>2.9455428542957001</v>
      </c>
      <c r="AH58" s="2">
        <v>-0.242371499586191</v>
      </c>
      <c r="AI58" s="2">
        <v>18.431590603838</v>
      </c>
      <c r="AJ58" s="2">
        <v>2.9581071768320801</v>
      </c>
    </row>
    <row r="59" spans="1:36" ht="14.25" customHeight="1">
      <c r="A59" s="21">
        <v>42094</v>
      </c>
      <c r="B59" s="37">
        <v>1.23651756847751</v>
      </c>
      <c r="C59" s="238">
        <v>1.3837003258801299</v>
      </c>
      <c r="D59" s="2">
        <v>-0.1</v>
      </c>
      <c r="E59" s="229">
        <v>17.6758008520471</v>
      </c>
      <c r="F59" s="230">
        <v>2.3539206494237899</v>
      </c>
      <c r="G59" s="238">
        <v>1.3837003258801299</v>
      </c>
      <c r="H59" s="229">
        <v>17.6758008520471</v>
      </c>
      <c r="I59" s="230">
        <v>2.3539206494237899</v>
      </c>
      <c r="J59" s="238">
        <v>1.3837003258801299</v>
      </c>
      <c r="K59" s="229">
        <v>17.6758008520471</v>
      </c>
      <c r="L59" s="230">
        <v>2.3539206494237899</v>
      </c>
      <c r="M59" s="6">
        <f t="shared" si="0"/>
        <v>15.32188020262331</v>
      </c>
      <c r="Y59" s="21">
        <v>42094</v>
      </c>
      <c r="Z59" s="2">
        <v>1.23651756847751</v>
      </c>
      <c r="AA59" s="2">
        <v>1.3837003258801299</v>
      </c>
      <c r="AB59" s="2">
        <v>-0.1</v>
      </c>
      <c r="AC59" s="2">
        <v>17.6758008520471</v>
      </c>
      <c r="AD59" s="2">
        <v>2.3539206494235301</v>
      </c>
      <c r="AE59" s="2">
        <v>1.3837003258801299</v>
      </c>
      <c r="AF59" s="2">
        <v>17.6758008520471</v>
      </c>
      <c r="AG59" s="2">
        <v>2.3733713534164198</v>
      </c>
      <c r="AH59" s="2">
        <v>1.3837003258801299</v>
      </c>
      <c r="AI59" s="2">
        <v>17.6758008520471</v>
      </c>
      <c r="AJ59" s="2">
        <v>2.3896605478560802</v>
      </c>
    </row>
    <row r="60" spans="1:36" ht="14.25" customHeight="1">
      <c r="A60" s="21">
        <v>42185</v>
      </c>
      <c r="B60" s="37">
        <v>0.110287597553205</v>
      </c>
      <c r="C60" s="238">
        <v>0.470175605697642</v>
      </c>
      <c r="D60" s="2">
        <v>0.3</v>
      </c>
      <c r="E60" s="229">
        <v>17.115445353087399</v>
      </c>
      <c r="F60" s="230">
        <v>1.98291268812146</v>
      </c>
      <c r="G60" s="238">
        <v>0.470175605697642</v>
      </c>
      <c r="H60" s="229">
        <v>17.115445353087399</v>
      </c>
      <c r="I60" s="230">
        <v>1.98291268812146</v>
      </c>
      <c r="J60" s="238">
        <v>0.470175605697642</v>
      </c>
      <c r="K60" s="229">
        <v>17.115445353087399</v>
      </c>
      <c r="L60" s="230">
        <v>1.98291268812146</v>
      </c>
      <c r="M60" s="6">
        <f t="shared" si="0"/>
        <v>15.13253266496594</v>
      </c>
      <c r="Y60" s="21">
        <v>42185</v>
      </c>
      <c r="Z60" s="2">
        <v>0.110287597553205</v>
      </c>
      <c r="AA60" s="2">
        <v>0.470175605697642</v>
      </c>
      <c r="AB60" s="2">
        <v>0.3</v>
      </c>
      <c r="AC60" s="2">
        <v>17.115445353087399</v>
      </c>
      <c r="AD60" s="2">
        <v>1.98291268812129</v>
      </c>
      <c r="AE60" s="2">
        <v>0.470175605697642</v>
      </c>
      <c r="AF60" s="2">
        <v>17.115445353087399</v>
      </c>
      <c r="AG60" s="2">
        <v>2.0072028226644001</v>
      </c>
      <c r="AH60" s="2">
        <v>0.470175605697642</v>
      </c>
      <c r="AI60" s="2">
        <v>17.115445353087399</v>
      </c>
      <c r="AJ60" s="2">
        <v>2.0275480382895501</v>
      </c>
    </row>
    <row r="61" spans="1:36" ht="14.25" customHeight="1">
      <c r="A61" s="21">
        <v>42277</v>
      </c>
      <c r="B61" s="37">
        <v>-2.1161759124379702</v>
      </c>
      <c r="C61" s="238">
        <v>-0.93602624439527204</v>
      </c>
      <c r="D61" s="2">
        <v>0.1</v>
      </c>
      <c r="E61" s="229">
        <v>16.711840793915901</v>
      </c>
      <c r="F61" s="230">
        <v>1.7780585622610701</v>
      </c>
      <c r="G61" s="238">
        <v>-0.93602624439527204</v>
      </c>
      <c r="H61" s="229">
        <v>16.711840793915901</v>
      </c>
      <c r="I61" s="230">
        <v>1.7780585622610701</v>
      </c>
      <c r="J61" s="238">
        <v>-0.93602624439527204</v>
      </c>
      <c r="K61" s="229">
        <v>16.711840793915901</v>
      </c>
      <c r="L61" s="230">
        <v>1.7780585622610701</v>
      </c>
      <c r="M61" s="6">
        <f t="shared" si="0"/>
        <v>14.933782231654831</v>
      </c>
      <c r="Y61" s="21">
        <v>42277</v>
      </c>
      <c r="Z61" s="2">
        <v>-2.1161759124379702</v>
      </c>
      <c r="AA61" s="2">
        <v>-0.93602624439527204</v>
      </c>
      <c r="AB61" s="2">
        <v>0.1</v>
      </c>
      <c r="AC61" s="2">
        <v>16.711840793915901</v>
      </c>
      <c r="AD61" s="2">
        <v>1.7780585622609</v>
      </c>
      <c r="AE61" s="2">
        <v>-0.93602624439527204</v>
      </c>
      <c r="AF61" s="2">
        <v>16.711840793915901</v>
      </c>
      <c r="AG61" s="2">
        <v>1.80759798150041</v>
      </c>
      <c r="AH61" s="2">
        <v>-0.93602624439527204</v>
      </c>
      <c r="AI61" s="2">
        <v>16.711840793915901</v>
      </c>
      <c r="AJ61" s="2">
        <v>1.8323428097466501</v>
      </c>
    </row>
    <row r="62" spans="1:36" ht="14.25" customHeight="1">
      <c r="A62" s="21">
        <v>42369</v>
      </c>
      <c r="B62" s="37">
        <v>-1.76328983146645</v>
      </c>
      <c r="C62" s="238">
        <v>-1.13428442209466</v>
      </c>
      <c r="D62" s="2">
        <v>0.2</v>
      </c>
      <c r="E62" s="229">
        <v>16.247162421313501</v>
      </c>
      <c r="F62" s="230">
        <v>1.5206834000861</v>
      </c>
      <c r="G62" s="238">
        <v>-1.13428442209466</v>
      </c>
      <c r="H62" s="229">
        <v>16.247162421313501</v>
      </c>
      <c r="I62" s="230">
        <v>1.5206834000861</v>
      </c>
      <c r="J62" s="238">
        <v>-1.13428442209466</v>
      </c>
      <c r="K62" s="229">
        <v>16.247162421313501</v>
      </c>
      <c r="L62" s="230">
        <v>1.5206834000861</v>
      </c>
      <c r="M62" s="6">
        <f t="shared" si="0"/>
        <v>14.726479021227401</v>
      </c>
      <c r="Y62" s="21">
        <v>42369</v>
      </c>
      <c r="Z62" s="2">
        <v>-1.76328983146645</v>
      </c>
      <c r="AA62" s="2">
        <v>-1.13428442209466</v>
      </c>
      <c r="AB62" s="2">
        <v>0.2</v>
      </c>
      <c r="AC62" s="2">
        <v>16.247162421313501</v>
      </c>
      <c r="AD62" s="2">
        <v>1.5206834000859899</v>
      </c>
      <c r="AE62" s="2">
        <v>-1.13428442209466</v>
      </c>
      <c r="AF62" s="2">
        <v>16.247162421313501</v>
      </c>
      <c r="AG62" s="2">
        <v>1.5558958210963201</v>
      </c>
      <c r="AH62" s="2">
        <v>-1.13428442209466</v>
      </c>
      <c r="AI62" s="2">
        <v>16.247162421313501</v>
      </c>
      <c r="AJ62" s="2">
        <v>1.58539548174394</v>
      </c>
    </row>
    <row r="63" spans="1:36" ht="14.25" customHeight="1">
      <c r="A63" s="21">
        <v>42460</v>
      </c>
      <c r="B63" s="37">
        <v>-2.8389137203956198</v>
      </c>
      <c r="C63" s="238">
        <v>-0.65494960147908199</v>
      </c>
      <c r="D63" s="2">
        <v>0</v>
      </c>
      <c r="E63" s="229">
        <v>15.1891131419394</v>
      </c>
      <c r="F63" s="230">
        <v>0.67756886737604805</v>
      </c>
      <c r="G63" s="238">
        <v>-0.65494960147908199</v>
      </c>
      <c r="H63" s="229">
        <v>15.1891131419394</v>
      </c>
      <c r="I63" s="230">
        <v>0.67756886737604805</v>
      </c>
      <c r="J63" s="238">
        <v>-0.65494960147908199</v>
      </c>
      <c r="K63" s="229">
        <v>15.1891131419394</v>
      </c>
      <c r="L63" s="230">
        <v>0.67756886737604805</v>
      </c>
      <c r="M63" s="6">
        <f t="shared" si="0"/>
        <v>14.511544274563352</v>
      </c>
      <c r="Y63" s="21">
        <v>42460</v>
      </c>
      <c r="Z63" s="2">
        <v>-2.8389137203956198</v>
      </c>
      <c r="AA63" s="2">
        <v>-0.65494960147908199</v>
      </c>
      <c r="AB63" s="2">
        <v>0</v>
      </c>
      <c r="AC63" s="2">
        <v>15.1891131419394</v>
      </c>
      <c r="AD63" s="2">
        <v>0.67756886737589594</v>
      </c>
      <c r="AE63" s="2">
        <v>-0.65494960147908199</v>
      </c>
      <c r="AF63" s="2">
        <v>15.1891131419394</v>
      </c>
      <c r="AG63" s="2">
        <v>0.71889068858331295</v>
      </c>
      <c r="AH63" s="2">
        <v>-0.65494960147908199</v>
      </c>
      <c r="AI63" s="2">
        <v>15.1891131419394</v>
      </c>
      <c r="AJ63" s="2">
        <v>0.75351103996398705</v>
      </c>
    </row>
    <row r="64" spans="1:36" ht="14.25" customHeight="1">
      <c r="A64" s="21">
        <v>42551</v>
      </c>
      <c r="B64" s="37">
        <v>0.33163664742132898</v>
      </c>
      <c r="C64" s="238">
        <v>-0.87043356082551204</v>
      </c>
      <c r="D64" s="2">
        <v>0.1</v>
      </c>
      <c r="E64" s="229">
        <v>14.520841838024101</v>
      </c>
      <c r="F64" s="230">
        <v>0.23088177814524899</v>
      </c>
      <c r="G64" s="238">
        <v>-0.87043356082551204</v>
      </c>
      <c r="H64" s="229">
        <v>14.520841838024101</v>
      </c>
      <c r="I64" s="230">
        <v>0.23088177814524899</v>
      </c>
      <c r="J64" s="238">
        <v>-0.87043356082551204</v>
      </c>
      <c r="K64" s="229">
        <v>14.520841838024101</v>
      </c>
      <c r="L64" s="230">
        <v>0.23088177814524899</v>
      </c>
      <c r="M64" s="6">
        <f t="shared" si="0"/>
        <v>14.289960059878851</v>
      </c>
      <c r="Y64" s="21">
        <v>42551</v>
      </c>
      <c r="Z64" s="2">
        <v>0.33163664742132898</v>
      </c>
      <c r="AA64" s="2">
        <v>-0.87043356082551204</v>
      </c>
      <c r="AB64" s="2">
        <v>0.1</v>
      </c>
      <c r="AC64" s="2">
        <v>14.520841838024101</v>
      </c>
      <c r="AD64" s="2">
        <v>0.23088177814514099</v>
      </c>
      <c r="AE64" s="2">
        <v>-0.87043356082551204</v>
      </c>
      <c r="AF64" s="2">
        <v>14.520841838024101</v>
      </c>
      <c r="AG64" s="2">
        <v>0.27876067083046602</v>
      </c>
      <c r="AH64" s="2">
        <v>-0.87043356082551204</v>
      </c>
      <c r="AI64" s="2">
        <v>14.520841838024101</v>
      </c>
      <c r="AJ64" s="2">
        <v>0.31887702984104499</v>
      </c>
    </row>
    <row r="65" spans="1:36" ht="14.25" customHeight="1">
      <c r="A65" s="21">
        <v>42643</v>
      </c>
      <c r="B65" s="37">
        <v>0.69946461382730496</v>
      </c>
      <c r="C65" s="238">
        <v>2.0761470710487702</v>
      </c>
      <c r="D65" s="2">
        <v>0.4</v>
      </c>
      <c r="E65" s="229">
        <v>13.724619719032001</v>
      </c>
      <c r="F65" s="230">
        <v>-0.33811582911239202</v>
      </c>
      <c r="G65" s="238">
        <v>2.0761470710487702</v>
      </c>
      <c r="H65" s="229">
        <v>13.724619719032001</v>
      </c>
      <c r="I65" s="230">
        <v>-0.33811582911239202</v>
      </c>
      <c r="J65" s="238">
        <v>2.0761470710487702</v>
      </c>
      <c r="K65" s="229">
        <v>13.724619719032001</v>
      </c>
      <c r="L65" s="230">
        <v>-0.33811582911239202</v>
      </c>
      <c r="M65" s="6">
        <f t="shared" si="0"/>
        <v>14.062735548144392</v>
      </c>
      <c r="Y65" s="21">
        <v>42643</v>
      </c>
      <c r="Z65" s="2">
        <v>0.69946461382730496</v>
      </c>
      <c r="AA65" s="2">
        <v>2.0761470710487702</v>
      </c>
      <c r="AB65" s="2">
        <v>0.4</v>
      </c>
      <c r="AC65" s="2">
        <v>13.724619719032001</v>
      </c>
      <c r="AD65" s="2">
        <v>-0.33811582911244598</v>
      </c>
      <c r="AE65" s="2">
        <v>2.0761470710487702</v>
      </c>
      <c r="AF65" s="2">
        <v>13.724619719032001</v>
      </c>
      <c r="AG65" s="2">
        <v>-0.28322257368646703</v>
      </c>
      <c r="AH65" s="2">
        <v>2.0761470710487702</v>
      </c>
      <c r="AI65" s="2">
        <v>13.724619719032001</v>
      </c>
      <c r="AJ65" s="2">
        <v>-0.237226816397935</v>
      </c>
    </row>
    <row r="66" spans="1:36" ht="14.25" customHeight="1">
      <c r="A66" s="21">
        <v>42735</v>
      </c>
      <c r="B66" s="37">
        <v>2.5001469038524702</v>
      </c>
      <c r="C66" s="238">
        <v>1.36388410127086</v>
      </c>
      <c r="D66" s="2">
        <v>1.1000000000000001</v>
      </c>
      <c r="E66" s="229">
        <v>13.151949161815899</v>
      </c>
      <c r="F66" s="230">
        <v>-0.678939983785672</v>
      </c>
      <c r="G66" s="238">
        <v>1.36388410127086</v>
      </c>
      <c r="H66" s="229">
        <v>13.151949161815899</v>
      </c>
      <c r="I66" s="230">
        <v>-0.678939983785672</v>
      </c>
      <c r="J66" s="238">
        <v>1.36388410127086</v>
      </c>
      <c r="K66" s="229">
        <v>13.151949161815899</v>
      </c>
      <c r="L66" s="230">
        <v>-0.678939983785672</v>
      </c>
      <c r="M66" s="6">
        <f t="shared" si="0"/>
        <v>13.830889145601571</v>
      </c>
      <c r="Y66" s="21">
        <v>42735</v>
      </c>
      <c r="Z66" s="2">
        <v>2.5001469038524702</v>
      </c>
      <c r="AA66" s="2">
        <v>1.36388410127086</v>
      </c>
      <c r="AB66" s="2">
        <v>1.1000000000000001</v>
      </c>
      <c r="AC66" s="2">
        <v>13.151949161815899</v>
      </c>
      <c r="AD66" s="2">
        <v>-0.67893998378574805</v>
      </c>
      <c r="AE66" s="2">
        <v>1.36388410127086</v>
      </c>
      <c r="AF66" s="2">
        <v>13.151949161815899</v>
      </c>
      <c r="AG66" s="2">
        <v>-0.61656736953010804</v>
      </c>
      <c r="AH66" s="2">
        <v>1.36388410127086</v>
      </c>
      <c r="AI66" s="2">
        <v>13.151949161815899</v>
      </c>
      <c r="AJ66" s="2">
        <v>-0.56430235421883301</v>
      </c>
    </row>
    <row r="67" spans="1:36" ht="14.25" customHeight="1">
      <c r="A67" s="21">
        <v>42825</v>
      </c>
      <c r="B67" s="37">
        <v>1.0444109768122301</v>
      </c>
      <c r="C67" s="238">
        <v>2.9885375043806</v>
      </c>
      <c r="D67" s="2">
        <v>1.7</v>
      </c>
      <c r="E67" s="229">
        <v>12.4084741485858</v>
      </c>
      <c r="F67" s="230">
        <v>-1.1869515852733701</v>
      </c>
      <c r="G67" s="238">
        <v>2.9885375043806</v>
      </c>
      <c r="H67" s="229">
        <v>12.4084741485858</v>
      </c>
      <c r="I67" s="230">
        <v>-1.1869515852733701</v>
      </c>
      <c r="J67" s="238">
        <v>2.9885375043806</v>
      </c>
      <c r="K67" s="229">
        <v>12.4084741485858</v>
      </c>
      <c r="L67" s="230">
        <v>-1.1869515852733701</v>
      </c>
      <c r="M67" s="6">
        <f t="shared" si="0"/>
        <v>13.59542573385917</v>
      </c>
      <c r="Y67" s="21">
        <v>42825</v>
      </c>
      <c r="Z67" s="2">
        <v>1.0444109768122301</v>
      </c>
      <c r="AA67" s="2">
        <v>2.9885375043806</v>
      </c>
      <c r="AB67" s="2">
        <v>1.7</v>
      </c>
      <c r="AC67" s="2">
        <v>12.4084741485858</v>
      </c>
      <c r="AD67" s="2">
        <v>-1.18695158527341</v>
      </c>
      <c r="AE67" s="2">
        <v>2.9885375043806</v>
      </c>
      <c r="AF67" s="2">
        <v>12.4084741485858</v>
      </c>
      <c r="AG67" s="2">
        <v>-1.11662910700319</v>
      </c>
      <c r="AH67" s="2">
        <v>2.9885375043806</v>
      </c>
      <c r="AI67" s="2">
        <v>12.4084741485858</v>
      </c>
      <c r="AJ67" s="2">
        <v>-1.0577003446581299</v>
      </c>
    </row>
    <row r="68" spans="1:36" ht="14.25" customHeight="1">
      <c r="A68" s="21">
        <v>42916</v>
      </c>
      <c r="B68" s="37">
        <v>-1.40163803035865</v>
      </c>
      <c r="C68" s="238">
        <v>0.84940888390549996</v>
      </c>
      <c r="D68" s="2">
        <v>1.5</v>
      </c>
      <c r="E68" s="229">
        <v>11.541942416095299</v>
      </c>
      <c r="F68" s="230">
        <v>-1.81538062083096</v>
      </c>
      <c r="G68" s="238">
        <v>0.84940888390549996</v>
      </c>
      <c r="H68" s="229">
        <v>11.541942416095299</v>
      </c>
      <c r="I68" s="230">
        <v>-1.81538062083096</v>
      </c>
      <c r="J68" s="238">
        <v>0.84940888390549996</v>
      </c>
      <c r="K68" s="229">
        <v>11.541942416095299</v>
      </c>
      <c r="L68" s="230">
        <v>-1.81538062083096</v>
      </c>
      <c r="M68" s="6">
        <f t="shared" si="0"/>
        <v>13.357323036926259</v>
      </c>
      <c r="Y68" s="21">
        <v>42916</v>
      </c>
      <c r="Z68" s="2">
        <v>-1.40163803035865</v>
      </c>
      <c r="AA68" s="2">
        <v>0.84940888390549996</v>
      </c>
      <c r="AB68" s="2">
        <v>1.5</v>
      </c>
      <c r="AC68" s="2">
        <v>11.541942416095299</v>
      </c>
      <c r="AD68" s="2">
        <v>-1.8153806208309999</v>
      </c>
      <c r="AE68" s="2">
        <v>0.84940888390549996</v>
      </c>
      <c r="AF68" s="2">
        <v>11.541942416095299</v>
      </c>
      <c r="AG68" s="2">
        <v>-1.7366347591697699</v>
      </c>
      <c r="AH68" s="2">
        <v>0.84940888390549996</v>
      </c>
      <c r="AI68" s="2">
        <v>11.541942416095299</v>
      </c>
      <c r="AJ68" s="2">
        <v>-1.67064522211399</v>
      </c>
    </row>
    <row r="69" spans="1:36" ht="14.25" customHeight="1">
      <c r="A69" s="21">
        <v>43008</v>
      </c>
      <c r="B69" s="37">
        <v>3.6107077752988799</v>
      </c>
      <c r="C69" s="238">
        <v>0.71898778532986096</v>
      </c>
      <c r="D69" s="2">
        <v>1.8</v>
      </c>
      <c r="E69" s="229">
        <v>11.108354660609599</v>
      </c>
      <c r="F69" s="230">
        <v>-2.0091566401390701</v>
      </c>
      <c r="G69" s="238">
        <v>0.71898778532986096</v>
      </c>
      <c r="H69" s="229">
        <v>11.108354660609599</v>
      </c>
      <c r="I69" s="230">
        <v>-2.0091566401390701</v>
      </c>
      <c r="J69" s="238">
        <v>0.71898778532986096</v>
      </c>
      <c r="K69" s="229">
        <v>11.108354660609599</v>
      </c>
      <c r="L69" s="230">
        <v>-2.0091566401390701</v>
      </c>
      <c r="M69" s="6">
        <f t="shared" si="0"/>
        <v>13.117511300748669</v>
      </c>
      <c r="P69" s="324" t="s">
        <v>796</v>
      </c>
      <c r="Q69" s="109" t="s">
        <v>185</v>
      </c>
      <c r="R69" s="109" t="s">
        <v>186</v>
      </c>
      <c r="S69" s="109" t="s">
        <v>187</v>
      </c>
      <c r="T69" s="109" t="s">
        <v>188</v>
      </c>
      <c r="U69" s="109"/>
      <c r="Y69" s="21">
        <v>43008</v>
      </c>
      <c r="Z69" s="2">
        <v>3.6107077752988799</v>
      </c>
      <c r="AA69" s="2">
        <v>0.71898778532986096</v>
      </c>
      <c r="AB69" s="2">
        <v>1.8</v>
      </c>
      <c r="AC69" s="2">
        <v>11.108354660609599</v>
      </c>
      <c r="AD69" s="2">
        <v>-2.0091566401390399</v>
      </c>
      <c r="AE69" s="2">
        <v>0.71898778532986096</v>
      </c>
      <c r="AF69" s="2">
        <v>11.108354660609599</v>
      </c>
      <c r="AG69" s="2">
        <v>-1.92151367441815</v>
      </c>
      <c r="AH69" s="2">
        <v>0.71898778532986096</v>
      </c>
      <c r="AI69" s="2">
        <v>11.108354660609599</v>
      </c>
      <c r="AJ69" s="2">
        <v>-1.8480661534593801</v>
      </c>
    </row>
    <row r="70" spans="1:36" ht="14.25" customHeight="1">
      <c r="A70" s="21">
        <v>43100</v>
      </c>
      <c r="B70" s="37">
        <v>1.5169826155234001</v>
      </c>
      <c r="C70" s="238">
        <v>0.90134997433945996</v>
      </c>
      <c r="D70" s="2">
        <v>1.6</v>
      </c>
      <c r="E70" s="229">
        <v>10.334122696964799</v>
      </c>
      <c r="F70" s="230">
        <v>-2.5427254590823201</v>
      </c>
      <c r="G70" s="238">
        <v>0.90134997433945996</v>
      </c>
      <c r="H70" s="229">
        <v>10.334122696964799</v>
      </c>
      <c r="I70" s="230">
        <v>-2.5427254590823201</v>
      </c>
      <c r="J70" s="238">
        <v>0.90134997433945996</v>
      </c>
      <c r="K70" s="229">
        <v>10.334122696964799</v>
      </c>
      <c r="L70" s="230">
        <v>-2.5427254590823201</v>
      </c>
      <c r="M70" s="6">
        <f t="shared" si="0"/>
        <v>12.876848156047119</v>
      </c>
      <c r="P70" s="109" t="s">
        <v>192</v>
      </c>
      <c r="Q70" s="323">
        <v>-0.50431000000000004</v>
      </c>
      <c r="R70" s="323">
        <v>0.46621000000000001</v>
      </c>
      <c r="S70" s="323">
        <v>-1.0820000000000001</v>
      </c>
      <c r="T70" s="323">
        <v>0.28289999999999998</v>
      </c>
      <c r="U70" s="323"/>
      <c r="Y70" s="21">
        <v>43100</v>
      </c>
      <c r="Z70" s="2">
        <v>1.5169826155234001</v>
      </c>
      <c r="AA70" s="2">
        <v>0.90134997433945996</v>
      </c>
      <c r="AB70" s="2">
        <v>1.6</v>
      </c>
      <c r="AC70" s="2">
        <v>10.334122696964799</v>
      </c>
      <c r="AD70" s="2">
        <v>-2.54272545908236</v>
      </c>
      <c r="AE70" s="2">
        <v>0.90134997433945996</v>
      </c>
      <c r="AF70" s="2">
        <v>10.334122696964799</v>
      </c>
      <c r="AG70" s="2">
        <v>-2.4457146171753101</v>
      </c>
      <c r="AH70" s="2">
        <v>0.90134997433945996</v>
      </c>
      <c r="AI70" s="2">
        <v>10.334122696964799</v>
      </c>
      <c r="AJ70" s="2">
        <v>-2.3644143611874999</v>
      </c>
    </row>
    <row r="71" spans="1:36" ht="14.25" customHeight="1">
      <c r="A71" s="21">
        <v>43190</v>
      </c>
      <c r="B71" s="37">
        <v>0.46406132260827798</v>
      </c>
      <c r="C71" s="238">
        <v>0.26755077746316602</v>
      </c>
      <c r="D71" s="2">
        <v>1.6</v>
      </c>
      <c r="E71" s="229">
        <v>9.7159960626203006</v>
      </c>
      <c r="F71" s="230">
        <v>-2.9201148046569498</v>
      </c>
      <c r="G71" s="238">
        <v>0.26755077746316602</v>
      </c>
      <c r="H71" s="229">
        <v>9.7159960626203006</v>
      </c>
      <c r="I71" s="230">
        <v>-2.9201148046569498</v>
      </c>
      <c r="J71" s="238">
        <v>0.26755077746316602</v>
      </c>
      <c r="K71" s="229">
        <v>9.7159960626203006</v>
      </c>
      <c r="L71" s="230">
        <v>-2.9201148046569498</v>
      </c>
      <c r="M71" s="6">
        <f t="shared" si="0"/>
        <v>12.63611086727725</v>
      </c>
      <c r="P71" s="109" t="s">
        <v>617</v>
      </c>
      <c r="Q71" s="323">
        <v>-0.20086000000000001</v>
      </c>
      <c r="R71" s="323">
        <v>9.1389999999999999E-2</v>
      </c>
      <c r="S71" s="323">
        <v>-2.198</v>
      </c>
      <c r="T71" s="323">
        <v>3.1099999999999999E-2</v>
      </c>
      <c r="U71" s="323" t="s">
        <v>799</v>
      </c>
      <c r="Y71" s="21">
        <v>43190</v>
      </c>
      <c r="Z71" s="2">
        <v>0.46406132260827798</v>
      </c>
      <c r="AA71" s="2">
        <v>0.26755077746316602</v>
      </c>
      <c r="AB71" s="2">
        <v>1.6</v>
      </c>
      <c r="AC71" s="2">
        <v>9.7159960626203006</v>
      </c>
      <c r="AD71" s="2">
        <v>-2.9201148046569601</v>
      </c>
      <c r="AE71" s="2">
        <v>0.26755077746316602</v>
      </c>
      <c r="AF71" s="2">
        <v>9.7159960626203006</v>
      </c>
      <c r="AG71" s="2">
        <v>-2.8132717686980802</v>
      </c>
      <c r="AH71" s="2">
        <v>0.26755077746316602</v>
      </c>
      <c r="AI71" s="2">
        <v>9.7159960626203006</v>
      </c>
      <c r="AJ71" s="2">
        <v>-2.7237294225221498</v>
      </c>
    </row>
    <row r="72" spans="1:36" ht="14.25" customHeight="1">
      <c r="A72" s="21">
        <v>43281</v>
      </c>
      <c r="B72" s="37">
        <v>4.1093662330433904</v>
      </c>
      <c r="C72" s="238">
        <v>0.88188245839924095</v>
      </c>
      <c r="D72" s="2">
        <v>2.1</v>
      </c>
      <c r="E72" s="229">
        <v>9.5374292924991302</v>
      </c>
      <c r="F72" s="230">
        <v>-2.8585456973767598</v>
      </c>
      <c r="G72" s="238">
        <v>0.88188245839924095</v>
      </c>
      <c r="H72" s="229">
        <v>9.5374292924991302</v>
      </c>
      <c r="I72" s="230">
        <v>-2.8585456973767598</v>
      </c>
      <c r="J72" s="238">
        <v>0.88188245839924095</v>
      </c>
      <c r="K72" s="229">
        <v>9.5374292924991302</v>
      </c>
      <c r="L72" s="230">
        <v>-2.8585456973767598</v>
      </c>
      <c r="M72" s="6">
        <f t="shared" si="0"/>
        <v>12.39597498987589</v>
      </c>
      <c r="P72" s="109" t="s">
        <v>717</v>
      </c>
      <c r="Q72" s="323">
        <v>1.13002</v>
      </c>
      <c r="R72" s="323">
        <v>0.23069999999999999</v>
      </c>
      <c r="S72" s="323">
        <v>4.8979999999999997</v>
      </c>
      <c r="T72" s="323">
        <v>5.5300000000000004E-6</v>
      </c>
      <c r="U72" s="323" t="s">
        <v>194</v>
      </c>
      <c r="Y72" s="21">
        <v>43281</v>
      </c>
      <c r="Z72" s="2">
        <v>4.1093662330433904</v>
      </c>
      <c r="AA72" s="2">
        <v>0.88188245839924095</v>
      </c>
      <c r="AB72" s="2">
        <v>2.1</v>
      </c>
      <c r="AC72" s="2">
        <v>9.5374292924991302</v>
      </c>
      <c r="AD72" s="2">
        <v>-2.85854569737677</v>
      </c>
      <c r="AE72" s="2">
        <v>0.88188245839924095</v>
      </c>
      <c r="AF72" s="2">
        <v>9.5374292924991302</v>
      </c>
      <c r="AG72" s="2">
        <v>-2.7414164841948998</v>
      </c>
      <c r="AH72" s="2">
        <v>0.88188245839924095</v>
      </c>
      <c r="AI72" s="2">
        <v>9.5374292924991302</v>
      </c>
      <c r="AJ72" s="2">
        <v>-2.6432513406490101</v>
      </c>
    </row>
    <row r="73" spans="1:36" ht="14.25" customHeight="1">
      <c r="A73" s="21">
        <v>43373</v>
      </c>
      <c r="B73" s="37">
        <v>-0.42452313097974798</v>
      </c>
      <c r="C73" s="238">
        <v>-0.51321883556228998</v>
      </c>
      <c r="D73" s="2">
        <v>2.2000000000000002</v>
      </c>
      <c r="E73" s="229">
        <v>8.7417673722633804</v>
      </c>
      <c r="F73" s="230">
        <v>-3.4152319024244702</v>
      </c>
      <c r="G73" s="238">
        <v>-0.51321883556228998</v>
      </c>
      <c r="H73" s="229">
        <v>8.7417673722633804</v>
      </c>
      <c r="I73" s="230">
        <v>-3.4152319024244702</v>
      </c>
      <c r="J73" s="238">
        <v>-0.51321883556228998</v>
      </c>
      <c r="K73" s="229">
        <v>8.7417673722633804</v>
      </c>
      <c r="L73" s="230">
        <v>-3.4152319024244702</v>
      </c>
      <c r="M73" s="6">
        <f t="shared" si="0"/>
        <v>12.15699927468785</v>
      </c>
      <c r="Y73" s="21">
        <v>43373</v>
      </c>
      <c r="Z73" s="2">
        <v>-0.42452313097974798</v>
      </c>
      <c r="AA73" s="2">
        <v>-0.51321883556228998</v>
      </c>
      <c r="AB73" s="2">
        <v>2.2000000000000002</v>
      </c>
      <c r="AC73" s="2">
        <v>8.7417673722633804</v>
      </c>
      <c r="AD73" s="2">
        <v>-3.4152319024244902</v>
      </c>
      <c r="AE73" s="2">
        <v>-0.51321883556228998</v>
      </c>
      <c r="AF73" s="2">
        <v>8.7417673722633804</v>
      </c>
      <c r="AG73" s="2">
        <v>-3.2873771372643699</v>
      </c>
      <c r="AH73" s="2">
        <v>-0.51321883556228998</v>
      </c>
      <c r="AI73" s="2">
        <v>8.7417673722633804</v>
      </c>
      <c r="AJ73" s="2">
        <v>-3.1802207188378002</v>
      </c>
    </row>
    <row r="74" spans="1:36" ht="14.25" customHeight="1">
      <c r="A74" s="21">
        <v>43465</v>
      </c>
      <c r="B74" s="37">
        <v>-0.61306219592577305</v>
      </c>
      <c r="C74" s="238">
        <v>3.2047321618851301</v>
      </c>
      <c r="D74" s="2">
        <v>1.6</v>
      </c>
      <c r="E74" s="229">
        <v>8.1229574976223802</v>
      </c>
      <c r="F74" s="230">
        <v>-3.7966706331076701</v>
      </c>
      <c r="G74" s="238">
        <v>3.2047321618851301</v>
      </c>
      <c r="H74" s="229">
        <v>8.1229574976223802</v>
      </c>
      <c r="I74" s="230">
        <v>-3.7966706331076701</v>
      </c>
      <c r="J74" s="238">
        <v>3.2047321618851301</v>
      </c>
      <c r="K74" s="229">
        <v>8.1229574976223802</v>
      </c>
      <c r="L74" s="230">
        <v>-3.7966706331076701</v>
      </c>
      <c r="M74" s="6">
        <f t="shared" si="0"/>
        <v>11.91962813073005</v>
      </c>
      <c r="Y74" s="21">
        <v>43465</v>
      </c>
      <c r="Z74" s="2">
        <v>-0.61306219592577305</v>
      </c>
      <c r="AA74" s="2">
        <v>3.2047321618851301</v>
      </c>
      <c r="AB74" s="2">
        <v>1.6</v>
      </c>
      <c r="AC74" s="2">
        <v>8.1229574976223802</v>
      </c>
      <c r="AD74" s="2">
        <v>-3.7966706331077198</v>
      </c>
      <c r="AE74" s="2">
        <v>3.2047321618851301</v>
      </c>
      <c r="AF74" s="2">
        <v>8.1229574976223802</v>
      </c>
      <c r="AG74" s="2">
        <v>-3.6576702347985401</v>
      </c>
      <c r="AH74" s="2">
        <v>3.2047321618851301</v>
      </c>
      <c r="AI74" s="2">
        <v>8.1229574976223802</v>
      </c>
      <c r="AJ74" s="2">
        <v>-3.5411702202574</v>
      </c>
    </row>
    <row r="75" spans="1:36" ht="14.25" customHeight="1">
      <c r="A75" s="21">
        <v>43555</v>
      </c>
      <c r="B75" s="37">
        <v>1.0601410960800099</v>
      </c>
      <c r="C75" s="238">
        <v>-8.4936328903939505E-3</v>
      </c>
      <c r="D75" s="2">
        <v>1.6</v>
      </c>
      <c r="E75" s="229">
        <v>7.8784356463696303</v>
      </c>
      <c r="F75" s="230">
        <v>-3.8057337113737102</v>
      </c>
      <c r="G75" s="238">
        <v>-8.4936328903939505E-3</v>
      </c>
      <c r="H75" s="229">
        <v>7.8784356463696303</v>
      </c>
      <c r="I75" s="230">
        <v>-3.8057337113737102</v>
      </c>
      <c r="J75" s="238">
        <v>-8.4936328903939505E-3</v>
      </c>
      <c r="K75" s="229">
        <v>7.8784356463696303</v>
      </c>
      <c r="L75" s="230">
        <v>-3.8057337113737102</v>
      </c>
      <c r="M75" s="6">
        <f t="shared" si="0"/>
        <v>11.68416935774334</v>
      </c>
      <c r="P75" s="324" t="s">
        <v>33</v>
      </c>
      <c r="Q75" s="109" t="s">
        <v>185</v>
      </c>
      <c r="R75" s="109" t="s">
        <v>186</v>
      </c>
      <c r="S75" s="109" t="s">
        <v>187</v>
      </c>
      <c r="T75" s="109" t="s">
        <v>188</v>
      </c>
      <c r="U75" s="109"/>
      <c r="Y75" s="21">
        <v>43555</v>
      </c>
      <c r="Z75" s="2">
        <v>1.0601410960800099</v>
      </c>
      <c r="AA75" s="2">
        <v>-8.4936328903939505E-3</v>
      </c>
      <c r="AB75" s="2">
        <v>1.6</v>
      </c>
      <c r="AC75" s="2">
        <v>7.8784356463696303</v>
      </c>
      <c r="AD75" s="2">
        <v>-3.8057337113737399</v>
      </c>
      <c r="AE75" s="2">
        <v>-8.4936328903939505E-3</v>
      </c>
      <c r="AF75" s="2">
        <v>7.8784356463696303</v>
      </c>
      <c r="AG75" s="2">
        <v>-3.6551920065197798</v>
      </c>
      <c r="AH75" s="2">
        <v>-8.4936328903939505E-3</v>
      </c>
      <c r="AI75" s="2">
        <v>7.8784356463696303</v>
      </c>
      <c r="AJ75" s="2">
        <v>-3.5290165171637198</v>
      </c>
    </row>
    <row r="76" spans="1:36" ht="14.25" customHeight="1">
      <c r="A76" s="21">
        <v>43646</v>
      </c>
      <c r="B76" s="37">
        <v>2.3747421024377799</v>
      </c>
      <c r="C76" s="238">
        <v>1.66580246580772</v>
      </c>
      <c r="D76" s="2">
        <v>1.6</v>
      </c>
      <c r="E76" s="229">
        <v>7.9497838517455701</v>
      </c>
      <c r="F76" s="230">
        <v>-3.50099503689755</v>
      </c>
      <c r="G76" s="238">
        <v>1.66580246580772</v>
      </c>
      <c r="H76" s="229">
        <v>7.9497838517455701</v>
      </c>
      <c r="I76" s="230">
        <v>-3.50099503689755</v>
      </c>
      <c r="J76" s="238">
        <v>1.66580246580772</v>
      </c>
      <c r="K76" s="229">
        <v>7.9497838517455701</v>
      </c>
      <c r="L76" s="230">
        <v>-3.50099503689755</v>
      </c>
      <c r="M76" s="6">
        <f t="shared" si="0"/>
        <v>11.45077888864312</v>
      </c>
      <c r="P76" s="109" t="s">
        <v>192</v>
      </c>
      <c r="Q76" s="323">
        <v>1.8852</v>
      </c>
      <c r="R76" s="323">
        <v>0.31340000000000001</v>
      </c>
      <c r="S76" s="323">
        <v>6.0149999999999997</v>
      </c>
      <c r="T76" s="323">
        <v>6.3100000000000003E-8</v>
      </c>
      <c r="U76" s="323" t="s">
        <v>194</v>
      </c>
      <c r="Y76" s="21">
        <v>43646</v>
      </c>
      <c r="Z76" s="2">
        <v>2.3747421024377799</v>
      </c>
      <c r="AA76" s="2">
        <v>1.66580246580772</v>
      </c>
      <c r="AB76" s="2">
        <v>1.6</v>
      </c>
      <c r="AC76" s="2">
        <v>7.9497838517455701</v>
      </c>
      <c r="AD76" s="2">
        <v>-3.5009950368976002</v>
      </c>
      <c r="AE76" s="2">
        <v>1.66580246580772</v>
      </c>
      <c r="AF76" s="2">
        <v>7.9497838517455701</v>
      </c>
      <c r="AG76" s="2">
        <v>-3.3385463198941201</v>
      </c>
      <c r="AH76" s="2">
        <v>1.66580246580772</v>
      </c>
      <c r="AI76" s="2">
        <v>7.9497838517455701</v>
      </c>
      <c r="AJ76" s="2">
        <v>-3.20238857955695</v>
      </c>
    </row>
    <row r="77" spans="1:36" ht="14.25" customHeight="1">
      <c r="A77" s="21">
        <v>43738</v>
      </c>
      <c r="B77" s="37">
        <v>0.37197478734016798</v>
      </c>
      <c r="C77" s="238">
        <v>1.8184100968328301</v>
      </c>
      <c r="D77" s="2">
        <v>1.2</v>
      </c>
      <c r="E77" s="229">
        <v>7.6075200729098897</v>
      </c>
      <c r="F77" s="230">
        <v>-3.61194035408657</v>
      </c>
      <c r="G77" s="238">
        <v>1.8184100968328301</v>
      </c>
      <c r="H77" s="229">
        <v>7.6075200729098897</v>
      </c>
      <c r="I77" s="230">
        <v>-3.61194035408657</v>
      </c>
      <c r="J77" s="238">
        <v>1.8184100968328301</v>
      </c>
      <c r="K77" s="229">
        <v>7.6075200729098897</v>
      </c>
      <c r="L77" s="230">
        <v>-3.61194035408657</v>
      </c>
      <c r="M77" s="6">
        <f t="shared" si="0"/>
        <v>11.219460426996459</v>
      </c>
      <c r="P77" s="109" t="s">
        <v>617</v>
      </c>
      <c r="Q77" s="323">
        <v>-0.2772</v>
      </c>
      <c r="R77" s="323">
        <v>0.1328</v>
      </c>
      <c r="S77" s="323">
        <v>-2.0880000000000001</v>
      </c>
      <c r="T77" s="323">
        <v>4.0300000000000002E-2</v>
      </c>
      <c r="U77" s="323" t="s">
        <v>799</v>
      </c>
      <c r="Y77" s="21">
        <v>43738</v>
      </c>
      <c r="Z77" s="2">
        <v>0.37197478734016798</v>
      </c>
      <c r="AA77" s="2">
        <v>1.8184100968328301</v>
      </c>
      <c r="AB77" s="2">
        <v>1.2</v>
      </c>
      <c r="AC77" s="2">
        <v>7.6075200729098897</v>
      </c>
      <c r="AD77" s="2">
        <v>-3.61194035408661</v>
      </c>
      <c r="AE77" s="2">
        <v>1.8184100968328301</v>
      </c>
      <c r="AF77" s="2">
        <v>7.6075200729098897</v>
      </c>
      <c r="AG77" s="2">
        <v>-3.43725490878805</v>
      </c>
      <c r="AH77" s="2">
        <v>1.8184100968328301</v>
      </c>
      <c r="AI77" s="2">
        <v>7.6075200729098897</v>
      </c>
      <c r="AJ77" s="2">
        <v>-3.2908382908573599</v>
      </c>
    </row>
    <row r="78" spans="1:36" ht="14.25" customHeight="1">
      <c r="A78" s="21">
        <v>43830</v>
      </c>
      <c r="B78" s="37">
        <v>1.6734830679519901</v>
      </c>
      <c r="C78" s="238">
        <v>1.14433968952889</v>
      </c>
      <c r="D78" s="2">
        <v>1.6</v>
      </c>
      <c r="E78" s="229">
        <v>7.16684113589156</v>
      </c>
      <c r="F78" s="230">
        <v>-3.8232365006773898</v>
      </c>
      <c r="G78" s="238">
        <v>1.14433968952889</v>
      </c>
      <c r="H78" s="229">
        <v>7.16684113589156</v>
      </c>
      <c r="I78" s="230">
        <v>-3.8232365006773898</v>
      </c>
      <c r="J78" s="238">
        <v>1.14433968952889</v>
      </c>
      <c r="K78" s="229">
        <v>7.16684113589156</v>
      </c>
      <c r="L78" s="230">
        <v>-3.8232365006773898</v>
      </c>
      <c r="M78" s="6">
        <f t="shared" si="0"/>
        <v>10.99007763656895</v>
      </c>
      <c r="Y78" s="21">
        <v>43830</v>
      </c>
      <c r="Z78" s="2">
        <v>1.6734830679519901</v>
      </c>
      <c r="AA78" s="2">
        <v>1.14433968952889</v>
      </c>
      <c r="AB78" s="2">
        <v>1.6</v>
      </c>
      <c r="AC78" s="2">
        <v>7.16684113589156</v>
      </c>
      <c r="AD78" s="2">
        <v>-3.8232365006774001</v>
      </c>
      <c r="AE78" s="2">
        <v>1.14433968952889</v>
      </c>
      <c r="AF78" s="2">
        <v>7.16684113589156</v>
      </c>
      <c r="AG78" s="2">
        <v>-3.6360270983460898</v>
      </c>
      <c r="AH78" s="2">
        <v>1.14433968952889</v>
      </c>
      <c r="AI78" s="2">
        <v>7.16684113589156</v>
      </c>
      <c r="AJ78" s="2">
        <v>-3.47911057207275</v>
      </c>
    </row>
    <row r="79" spans="1:36" ht="14.25" customHeight="1">
      <c r="A79" s="231">
        <v>43921</v>
      </c>
      <c r="B79" s="233">
        <f t="shared" ref="B79:B82" si="1">$Q$76+$Q$77*F79</f>
        <v>2.5637442030289233</v>
      </c>
      <c r="C79" s="242">
        <f t="shared" ref="C79:C82" si="2">$Q$70+$Q$71*F79+$Q$72*D79</f>
        <v>1.3433892836233385</v>
      </c>
      <c r="D79" s="2">
        <v>1.2</v>
      </c>
      <c r="E79" s="233">
        <f>nezaposlenost!V84</f>
        <v>8.3144990432344343</v>
      </c>
      <c r="F79" s="233">
        <v>-2.4478506602775001</v>
      </c>
      <c r="G79" s="242">
        <f t="shared" ref="G79:G82" si="3">$Q$70+$Q$71*I79+$Q$72*D79</f>
        <v>1.303223085810701</v>
      </c>
      <c r="H79" s="233">
        <f>nezaposlenost!W84</f>
        <v>8.3144990432344343</v>
      </c>
      <c r="I79" s="233">
        <v>-2.2478795470013999</v>
      </c>
      <c r="J79" s="242">
        <f t="shared" ref="J79:J82" si="4">$Q$70+$Q$71*L79+$Q$72*D79</f>
        <v>1.2695557334722571</v>
      </c>
      <c r="K79" s="233">
        <f>nezaposlenost!X84</f>
        <v>8.3144990432344343</v>
      </c>
      <c r="L79" s="233">
        <v>-2.0802635341643798</v>
      </c>
      <c r="M79" s="6">
        <f t="shared" si="0"/>
        <v>10.762349703511934</v>
      </c>
      <c r="P79" s="324" t="s">
        <v>796</v>
      </c>
      <c r="Q79" s="109" t="s">
        <v>185</v>
      </c>
      <c r="R79" s="109" t="s">
        <v>186</v>
      </c>
      <c r="S79" s="109" t="s">
        <v>187</v>
      </c>
      <c r="T79" s="109" t="s">
        <v>188</v>
      </c>
      <c r="U79" s="109"/>
      <c r="Y79" s="21">
        <v>43921</v>
      </c>
      <c r="Z79" s="2">
        <v>2.5637442030289201</v>
      </c>
      <c r="AA79" s="2">
        <v>1.3433892836233401</v>
      </c>
      <c r="AB79" s="2">
        <v>1.2</v>
      </c>
      <c r="AC79" s="2">
        <v>8.3144990432344308</v>
      </c>
      <c r="AD79" s="2">
        <v>-2.4478506602775001</v>
      </c>
      <c r="AE79" s="2">
        <v>1.3433892836233401</v>
      </c>
      <c r="AF79" s="2">
        <v>8.3144990432344308</v>
      </c>
      <c r="AG79" s="2">
        <v>-2.2478795470013999</v>
      </c>
      <c r="AH79" s="2">
        <v>1.3433892836233401</v>
      </c>
      <c r="AI79" s="2">
        <v>8.3144990432344308</v>
      </c>
      <c r="AJ79" s="2">
        <v>-2.0802635341643798</v>
      </c>
    </row>
    <row r="80" spans="1:36" ht="14.25" customHeight="1">
      <c r="A80" s="231">
        <v>44012</v>
      </c>
      <c r="B80" s="233">
        <f t="shared" si="1"/>
        <v>1.3091972209742988</v>
      </c>
      <c r="C80" s="242">
        <f t="shared" si="2"/>
        <v>0.3966732244043929</v>
      </c>
      <c r="D80" s="244">
        <f>D79+(D82-D79)/3</f>
        <v>1.1666666666666667</v>
      </c>
      <c r="E80" s="233">
        <f>nezaposlenost!V85</f>
        <v>12.613774987784069</v>
      </c>
      <c r="F80" s="233">
        <v>2.0779321032673201</v>
      </c>
      <c r="G80" s="242">
        <f t="shared" si="3"/>
        <v>0.35390739570933216</v>
      </c>
      <c r="H80" s="233">
        <f>nezaposlenost!W85</f>
        <v>12.613774987784069</v>
      </c>
      <c r="I80" s="233">
        <v>2.2908457181984199</v>
      </c>
      <c r="J80" s="242">
        <f t="shared" si="4"/>
        <v>0.31806044410314804</v>
      </c>
      <c r="K80" s="233">
        <f>nezaposlenost!X85</f>
        <v>12.613774987784069</v>
      </c>
      <c r="L80" s="233">
        <v>2.4693130666310799</v>
      </c>
      <c r="M80" s="6">
        <f t="shared" si="0"/>
        <v>10.535842884516748</v>
      </c>
      <c r="P80" s="109" t="s">
        <v>192</v>
      </c>
      <c r="Q80" s="323">
        <v>1.5417000000000001</v>
      </c>
      <c r="R80" s="323">
        <v>0.23960000000000001</v>
      </c>
      <c r="S80" s="323">
        <v>6.4329999999999998</v>
      </c>
      <c r="T80" s="323">
        <v>1.0999999999999999E-8</v>
      </c>
      <c r="U80" s="323" t="s">
        <v>194</v>
      </c>
      <c r="Y80" s="21">
        <v>44012</v>
      </c>
      <c r="Z80" s="2">
        <v>1.3091972209742999</v>
      </c>
      <c r="AA80" s="2">
        <v>0.39667322440439301</v>
      </c>
      <c r="AB80" s="2">
        <v>1.1666666666666701</v>
      </c>
      <c r="AC80" s="2">
        <v>12.613774987784099</v>
      </c>
      <c r="AD80" s="2">
        <v>2.0779321032673201</v>
      </c>
      <c r="AE80" s="2">
        <v>0.39667322440439301</v>
      </c>
      <c r="AF80" s="2">
        <v>12.613774987784099</v>
      </c>
      <c r="AG80" s="2">
        <v>2.2908457181984199</v>
      </c>
      <c r="AH80" s="2">
        <v>0.39667322440439301</v>
      </c>
      <c r="AI80" s="2">
        <v>12.613774987784099</v>
      </c>
      <c r="AJ80" s="2">
        <v>2.4693130666310799</v>
      </c>
    </row>
    <row r="81" spans="1:163" ht="14.25" customHeight="1">
      <c r="A81" s="231">
        <v>44104</v>
      </c>
      <c r="B81" s="233">
        <f t="shared" si="1"/>
        <v>0.4463700108791091</v>
      </c>
      <c r="C81" s="242">
        <f t="shared" si="2"/>
        <v>-0.26620144449791527</v>
      </c>
      <c r="D81" s="244">
        <f>D80+(D82-D79)/3</f>
        <v>1.1333333333333335</v>
      </c>
      <c r="E81" s="233">
        <f>nezaposlenost!V86</f>
        <v>15.500609898586351</v>
      </c>
      <c r="F81" s="233">
        <v>5.1905843763379904</v>
      </c>
      <c r="G81" s="242">
        <f t="shared" si="3"/>
        <v>-0.10988959199354609</v>
      </c>
      <c r="H81" s="233">
        <f>nezaposlenost!W86</f>
        <v>14.496425006485921</v>
      </c>
      <c r="I81" s="233">
        <v>4.4123714294876004</v>
      </c>
      <c r="J81" s="242">
        <f t="shared" si="4"/>
        <v>1.9312823654155764E-2</v>
      </c>
      <c r="K81" s="233">
        <f>nezaposlenost!X86</f>
        <v>13.663762787332463</v>
      </c>
      <c r="L81" s="233">
        <v>3.7691253095647599</v>
      </c>
      <c r="M81" s="6">
        <f t="shared" si="0"/>
        <v>10.31002552224836</v>
      </c>
      <c r="P81" s="109" t="s">
        <v>617</v>
      </c>
      <c r="Q81" s="323">
        <v>-0.32700000000000001</v>
      </c>
      <c r="R81" s="323">
        <v>0.10150000000000001</v>
      </c>
      <c r="S81" s="323">
        <v>-3.22</v>
      </c>
      <c r="T81" s="323">
        <v>1.9E-3</v>
      </c>
      <c r="U81" s="323" t="s">
        <v>815</v>
      </c>
      <c r="Y81" s="21">
        <v>44104</v>
      </c>
      <c r="Z81" s="2">
        <v>0.44637001087911199</v>
      </c>
      <c r="AA81" s="2">
        <v>-0.266201444497913</v>
      </c>
      <c r="AB81" s="2">
        <v>1.13333333333333</v>
      </c>
      <c r="AC81" s="2">
        <v>15.500609898586401</v>
      </c>
      <c r="AD81" s="2">
        <v>5.1905843763379904</v>
      </c>
      <c r="AE81" s="2">
        <v>-0.266201444497913</v>
      </c>
      <c r="AF81" s="2">
        <v>14.4964250064859</v>
      </c>
      <c r="AG81" s="2">
        <v>4.4123714294876004</v>
      </c>
      <c r="AH81" s="2">
        <v>-0.266201444497913</v>
      </c>
      <c r="AI81" s="2">
        <v>13.6637627873325</v>
      </c>
      <c r="AJ81" s="2">
        <v>3.7691253095647599</v>
      </c>
    </row>
    <row r="82" spans="1:163" ht="14.25" customHeight="1">
      <c r="A82" s="231">
        <v>44196</v>
      </c>
      <c r="B82" s="233">
        <f t="shared" si="1"/>
        <v>0.2156474362292935</v>
      </c>
      <c r="C82" s="242">
        <f t="shared" si="2"/>
        <v>-0.47105108787512306</v>
      </c>
      <c r="D82" s="244">
        <v>1.1000000000000001</v>
      </c>
      <c r="E82" s="233">
        <f>nezaposlenost!V87</f>
        <v>16.107365973375572</v>
      </c>
      <c r="F82" s="233">
        <v>6.0229168967197202</v>
      </c>
      <c r="G82" s="242">
        <f t="shared" si="3"/>
        <v>-0.25839019616758008</v>
      </c>
      <c r="H82" s="233">
        <f>nezaposlenost!W87</f>
        <v>14.809541522046308</v>
      </c>
      <c r="I82" s="233">
        <v>4.9641650710324603</v>
      </c>
      <c r="J82" s="242">
        <f t="shared" si="4"/>
        <v>-7.8406184763628373E-2</v>
      </c>
      <c r="K82" s="233">
        <f>nezaposlenost!X87</f>
        <v>13.713073860286137</v>
      </c>
      <c r="L82" s="233">
        <v>4.0680981019796301</v>
      </c>
      <c r="M82" s="6">
        <f t="shared" si="0"/>
        <v>10.084449076655851</v>
      </c>
      <c r="Y82" s="21">
        <v>44196</v>
      </c>
      <c r="Z82" s="2">
        <v>0.215647436229296</v>
      </c>
      <c r="AA82" s="2">
        <v>-0.47105108787512101</v>
      </c>
      <c r="AB82" s="2">
        <v>1.1000000000000001</v>
      </c>
      <c r="AC82" s="2">
        <v>16.1073659733756</v>
      </c>
      <c r="AD82" s="2">
        <v>6.0229168967197202</v>
      </c>
      <c r="AE82" s="2">
        <v>-0.47105108787512101</v>
      </c>
      <c r="AF82" s="2">
        <v>14.809541522046301</v>
      </c>
      <c r="AG82" s="2">
        <v>4.9641650710324603</v>
      </c>
      <c r="AH82" s="2">
        <v>-0.47105108787512101</v>
      </c>
      <c r="AI82" s="2">
        <v>13.7130738602861</v>
      </c>
      <c r="AJ82" s="2">
        <v>4.0680981019796301</v>
      </c>
    </row>
    <row r="83" spans="1:163" ht="14.25" customHeight="1">
      <c r="A83" s="368"/>
      <c r="B83" s="369"/>
      <c r="C83" s="369"/>
      <c r="D83" s="369"/>
      <c r="E83" s="369"/>
      <c r="F83" s="369"/>
      <c r="G83" s="369"/>
      <c r="H83" s="369"/>
      <c r="I83" s="369"/>
      <c r="J83" s="369"/>
    </row>
    <row r="84" spans="1:163" ht="14.25" customHeight="1">
      <c r="A84" s="231"/>
      <c r="B84" s="232"/>
      <c r="C84" s="233"/>
      <c r="D84" s="233"/>
      <c r="E84" s="233"/>
      <c r="F84" s="233"/>
      <c r="G84" s="233"/>
      <c r="H84" s="34"/>
      <c r="I84" s="233"/>
      <c r="J84" s="232"/>
    </row>
    <row r="85" spans="1:163" ht="14.25" customHeight="1">
      <c r="A85" s="231"/>
      <c r="B85" s="232"/>
      <c r="C85" s="233"/>
      <c r="D85" s="233"/>
      <c r="E85" s="233"/>
      <c r="F85" s="233"/>
      <c r="G85" s="233"/>
      <c r="H85" s="244"/>
      <c r="I85" s="233"/>
      <c r="J85" s="232"/>
    </row>
    <row r="86" spans="1:163" ht="14.25" customHeight="1">
      <c r="A86" s="231"/>
      <c r="B86" s="232"/>
      <c r="C86" s="233"/>
      <c r="D86" s="233"/>
      <c r="E86" s="233"/>
      <c r="F86" s="233"/>
      <c r="G86" s="233"/>
      <c r="H86" s="244"/>
      <c r="I86" s="233"/>
      <c r="J86" s="232"/>
    </row>
    <row r="87" spans="1:163" ht="14.25" customHeight="1">
      <c r="A87" s="231"/>
      <c r="B87" s="232"/>
      <c r="C87" s="233"/>
      <c r="D87" s="233"/>
      <c r="E87" s="233"/>
      <c r="H87" s="233"/>
      <c r="I87" s="233"/>
      <c r="J87" s="232"/>
    </row>
    <row r="88" spans="1:163" ht="14.25" customHeight="1">
      <c r="A88" s="368"/>
      <c r="B88" s="369"/>
      <c r="C88" s="369"/>
      <c r="D88" s="369"/>
      <c r="E88" s="369"/>
      <c r="F88" s="369"/>
      <c r="G88" s="369"/>
      <c r="H88" s="369"/>
      <c r="I88" s="369"/>
      <c r="J88" s="369"/>
    </row>
    <row r="89" spans="1:163" ht="14.25" customHeight="1">
      <c r="A89" s="231"/>
      <c r="B89" s="232"/>
      <c r="C89" s="233"/>
      <c r="D89" s="233"/>
      <c r="E89" s="233"/>
      <c r="F89" s="233"/>
      <c r="G89" s="233"/>
      <c r="H89" s="34"/>
      <c r="I89" s="233"/>
      <c r="J89" s="232"/>
    </row>
    <row r="90" spans="1:163" ht="14.25" customHeight="1">
      <c r="A90" s="231"/>
      <c r="B90" s="232"/>
      <c r="C90" s="233"/>
      <c r="D90" s="233"/>
      <c r="E90" s="233"/>
      <c r="F90" s="233"/>
      <c r="G90" s="233"/>
      <c r="H90" s="244"/>
      <c r="I90" s="233"/>
      <c r="J90" s="232"/>
    </row>
    <row r="91" spans="1:163" ht="14.25" customHeight="1">
      <c r="A91" s="231"/>
      <c r="B91" s="232"/>
      <c r="C91" s="233"/>
      <c r="D91" s="233"/>
      <c r="E91" s="233"/>
      <c r="F91" s="233"/>
      <c r="G91" s="233"/>
      <c r="H91" s="244"/>
      <c r="I91" s="233"/>
      <c r="J91" s="232"/>
    </row>
    <row r="92" spans="1:163" ht="14.25" customHeight="1">
      <c r="A92" s="231"/>
      <c r="B92" s="232"/>
      <c r="C92" s="233"/>
      <c r="D92" s="233"/>
      <c r="E92" s="233"/>
      <c r="H92" s="233"/>
      <c r="I92" s="233"/>
      <c r="J92" s="232"/>
    </row>
    <row r="93" spans="1:163" ht="14.25" customHeight="1"/>
    <row r="94" spans="1:163" ht="14.25" customHeight="1"/>
    <row r="95" spans="1:163" ht="14.25" customHeight="1"/>
    <row r="96" spans="1:163" ht="14.25" customHeight="1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  <c r="BJ96" s="247"/>
      <c r="BK96" s="247"/>
      <c r="BL96" s="247"/>
      <c r="BM96" s="247"/>
      <c r="BN96" s="247"/>
      <c r="BO96" s="247"/>
      <c r="BP96" s="247"/>
      <c r="BQ96" s="247"/>
      <c r="BR96" s="247"/>
      <c r="BS96" s="247"/>
      <c r="BT96" s="247"/>
      <c r="BU96" s="247"/>
      <c r="BV96" s="247"/>
      <c r="BW96" s="247"/>
      <c r="BX96" s="247"/>
      <c r="BY96" s="247"/>
      <c r="BZ96" s="247"/>
      <c r="CA96" s="247"/>
      <c r="CB96" s="247"/>
      <c r="CC96" s="247"/>
      <c r="CD96" s="247"/>
      <c r="CE96" s="247"/>
      <c r="CF96" s="247"/>
      <c r="CG96" s="247"/>
      <c r="CH96" s="247"/>
      <c r="CI96" s="247"/>
      <c r="CJ96" s="247"/>
      <c r="CK96" s="247"/>
      <c r="CL96" s="247"/>
      <c r="CM96" s="247"/>
      <c r="CN96" s="247"/>
      <c r="CO96" s="247"/>
      <c r="CP96" s="247"/>
      <c r="CQ96" s="247"/>
      <c r="CR96" s="247"/>
      <c r="CS96" s="247"/>
      <c r="CT96" s="247"/>
      <c r="CU96" s="247"/>
      <c r="CV96" s="247"/>
      <c r="CW96" s="247"/>
      <c r="CX96" s="247"/>
      <c r="CY96" s="247"/>
      <c r="CZ96" s="247"/>
      <c r="DA96" s="247"/>
      <c r="DB96" s="247"/>
      <c r="DC96" s="247"/>
      <c r="DD96" s="247"/>
      <c r="DE96" s="247"/>
      <c r="DF96" s="247"/>
      <c r="DG96" s="247"/>
      <c r="DH96" s="247"/>
      <c r="DI96" s="247"/>
      <c r="DJ96" s="247"/>
      <c r="DK96" s="247"/>
      <c r="DL96" s="247"/>
      <c r="DM96" s="247"/>
      <c r="DN96" s="247"/>
      <c r="DO96" s="247"/>
      <c r="DP96" s="247"/>
      <c r="DQ96" s="247"/>
      <c r="DR96" s="247"/>
      <c r="DS96" s="247"/>
      <c r="DT96" s="247"/>
      <c r="DU96" s="247"/>
      <c r="DV96" s="247"/>
      <c r="DW96" s="247"/>
      <c r="DX96" s="247"/>
      <c r="DY96" s="247"/>
      <c r="DZ96" s="247"/>
      <c r="EA96" s="247"/>
      <c r="EB96" s="247"/>
      <c r="EC96" s="247"/>
      <c r="ED96" s="247"/>
      <c r="EE96" s="247"/>
      <c r="EF96" s="247"/>
      <c r="EG96" s="247"/>
      <c r="EH96" s="247"/>
      <c r="EI96" s="247"/>
      <c r="EJ96" s="247"/>
      <c r="EK96" s="247"/>
      <c r="EL96" s="247"/>
      <c r="EM96" s="247"/>
      <c r="EN96" s="247"/>
      <c r="EO96" s="247"/>
      <c r="EP96" s="247"/>
      <c r="EQ96" s="247"/>
      <c r="ER96" s="247"/>
      <c r="ES96" s="247"/>
      <c r="ET96" s="247"/>
      <c r="EU96" s="247"/>
      <c r="EV96" s="247"/>
      <c r="EW96" s="247"/>
      <c r="EX96" s="247"/>
      <c r="EY96" s="247"/>
      <c r="EZ96" s="247"/>
      <c r="FA96" s="247"/>
      <c r="FB96" s="247"/>
      <c r="FC96" s="247"/>
      <c r="FD96" s="247"/>
      <c r="FE96" s="247"/>
      <c r="FF96" s="247"/>
      <c r="FG96" s="247"/>
    </row>
    <row r="97" spans="1:163" ht="14.25" customHeight="1">
      <c r="A97" s="247" t="s">
        <v>824</v>
      </c>
      <c r="B97" s="247" t="s">
        <v>825</v>
      </c>
      <c r="C97" s="247" t="s">
        <v>826</v>
      </c>
      <c r="D97" s="190" t="s">
        <v>827</v>
      </c>
      <c r="E97" s="200">
        <v>39113</v>
      </c>
      <c r="F97" s="200">
        <v>39141</v>
      </c>
      <c r="G97" s="200">
        <v>39172</v>
      </c>
      <c r="H97" s="200">
        <v>39202</v>
      </c>
      <c r="I97" s="200">
        <v>39233</v>
      </c>
      <c r="J97" s="200">
        <v>39263</v>
      </c>
      <c r="K97" s="200">
        <v>39294</v>
      </c>
      <c r="L97" s="200">
        <v>39325</v>
      </c>
      <c r="M97" s="200">
        <v>39355</v>
      </c>
      <c r="N97" s="200">
        <v>39386</v>
      </c>
      <c r="O97" s="200">
        <v>39416</v>
      </c>
      <c r="P97" s="200">
        <v>39447</v>
      </c>
      <c r="Q97" s="200">
        <v>39478</v>
      </c>
      <c r="R97" s="200">
        <v>39507</v>
      </c>
      <c r="S97" s="200">
        <v>39538</v>
      </c>
      <c r="T97" s="200">
        <v>39568</v>
      </c>
      <c r="U97" s="200">
        <v>39599</v>
      </c>
      <c r="V97" s="200">
        <v>39629</v>
      </c>
      <c r="W97" s="200">
        <v>39660</v>
      </c>
      <c r="X97" s="200">
        <v>39691</v>
      </c>
      <c r="Y97" s="200">
        <v>39721</v>
      </c>
      <c r="Z97" s="200">
        <v>39752</v>
      </c>
      <c r="AA97" s="200">
        <v>39782</v>
      </c>
      <c r="AB97" s="200">
        <v>39813</v>
      </c>
      <c r="AC97" s="200">
        <v>39844</v>
      </c>
      <c r="AD97" s="200">
        <v>39872</v>
      </c>
      <c r="AE97" s="200">
        <v>39903</v>
      </c>
      <c r="AF97" s="200">
        <v>39933</v>
      </c>
      <c r="AG97" s="200">
        <v>39964</v>
      </c>
      <c r="AH97" s="200">
        <v>39994</v>
      </c>
      <c r="AI97" s="200">
        <v>40025</v>
      </c>
      <c r="AJ97" s="200">
        <v>40056</v>
      </c>
      <c r="AK97" s="200">
        <v>40086</v>
      </c>
      <c r="AL97" s="200">
        <v>40117</v>
      </c>
      <c r="AM97" s="200">
        <v>40147</v>
      </c>
      <c r="AN97" s="200">
        <v>40178</v>
      </c>
      <c r="AO97" s="200">
        <v>40209</v>
      </c>
      <c r="AP97" s="200">
        <v>40237</v>
      </c>
      <c r="AQ97" s="200">
        <v>40268</v>
      </c>
      <c r="AR97" s="200">
        <v>40298</v>
      </c>
      <c r="AS97" s="200">
        <v>40329</v>
      </c>
      <c r="AT97" s="200">
        <v>40359</v>
      </c>
      <c r="AU97" s="200">
        <v>40390</v>
      </c>
      <c r="AV97" s="200">
        <v>40421</v>
      </c>
      <c r="AW97" s="200">
        <v>40451</v>
      </c>
      <c r="AX97" s="200">
        <v>40482</v>
      </c>
      <c r="AY97" s="200">
        <v>40512</v>
      </c>
      <c r="AZ97" s="200">
        <v>40543</v>
      </c>
      <c r="BA97" s="200">
        <v>40574</v>
      </c>
      <c r="BB97" s="200">
        <v>40602</v>
      </c>
      <c r="BC97" s="200">
        <v>40633</v>
      </c>
      <c r="BD97" s="200">
        <v>40663</v>
      </c>
      <c r="BE97" s="200">
        <v>40694</v>
      </c>
      <c r="BF97" s="200">
        <v>40724</v>
      </c>
      <c r="BG97" s="200">
        <v>40755</v>
      </c>
      <c r="BH97" s="200">
        <v>40786</v>
      </c>
      <c r="BI97" s="200">
        <v>40816</v>
      </c>
      <c r="BJ97" s="200">
        <v>40847</v>
      </c>
      <c r="BK97" s="200">
        <v>40877</v>
      </c>
      <c r="BL97" s="200">
        <v>40908</v>
      </c>
      <c r="BM97" s="200">
        <v>40939</v>
      </c>
      <c r="BN97" s="200">
        <v>40968</v>
      </c>
      <c r="BO97" s="200">
        <v>40999</v>
      </c>
      <c r="BP97" s="200">
        <v>41029</v>
      </c>
      <c r="BQ97" s="200">
        <v>41060</v>
      </c>
      <c r="BR97" s="200">
        <v>41090</v>
      </c>
      <c r="BS97" s="200">
        <v>41121</v>
      </c>
      <c r="BT97" s="200">
        <v>41152</v>
      </c>
      <c r="BU97" s="200">
        <v>41182</v>
      </c>
      <c r="BV97" s="200">
        <v>41213</v>
      </c>
      <c r="BW97" s="200">
        <v>41243</v>
      </c>
      <c r="BX97" s="200">
        <v>41274</v>
      </c>
      <c r="BY97" s="200">
        <v>41305</v>
      </c>
      <c r="BZ97" s="200">
        <v>41333</v>
      </c>
      <c r="CA97" s="200">
        <v>41364</v>
      </c>
      <c r="CB97" s="200">
        <v>41394</v>
      </c>
      <c r="CC97" s="200">
        <v>41425</v>
      </c>
      <c r="CD97" s="200">
        <v>41455</v>
      </c>
      <c r="CE97" s="200">
        <v>41486</v>
      </c>
      <c r="CF97" s="200">
        <v>41517</v>
      </c>
      <c r="CG97" s="200">
        <v>41547</v>
      </c>
      <c r="CH97" s="200">
        <v>41578</v>
      </c>
      <c r="CI97" s="200">
        <v>41608</v>
      </c>
      <c r="CJ97" s="200">
        <v>41639</v>
      </c>
      <c r="CK97" s="200">
        <v>41670</v>
      </c>
      <c r="CL97" s="200">
        <v>41698</v>
      </c>
      <c r="CM97" s="200">
        <v>41729</v>
      </c>
      <c r="CN97" s="200">
        <v>41759</v>
      </c>
      <c r="CO97" s="200">
        <v>41790</v>
      </c>
      <c r="CP97" s="200">
        <v>41820</v>
      </c>
      <c r="CQ97" s="200">
        <v>41851</v>
      </c>
      <c r="CR97" s="200">
        <v>41882</v>
      </c>
      <c r="CS97" s="200">
        <v>41912</v>
      </c>
      <c r="CT97" s="200">
        <v>41943</v>
      </c>
      <c r="CU97" s="200">
        <v>41973</v>
      </c>
      <c r="CV97" s="200">
        <v>42004</v>
      </c>
      <c r="CW97" s="200">
        <v>42035</v>
      </c>
      <c r="CX97" s="200">
        <v>42063</v>
      </c>
      <c r="CY97" s="200">
        <v>42094</v>
      </c>
      <c r="CZ97" s="200">
        <v>42124</v>
      </c>
      <c r="DA97" s="200">
        <v>42155</v>
      </c>
      <c r="DB97" s="200">
        <v>42185</v>
      </c>
      <c r="DC97" s="200">
        <v>42216</v>
      </c>
      <c r="DD97" s="200">
        <v>42247</v>
      </c>
      <c r="DE97" s="200">
        <v>42277</v>
      </c>
      <c r="DF97" s="200">
        <v>42308</v>
      </c>
      <c r="DG97" s="200">
        <v>42338</v>
      </c>
      <c r="DH97" s="200">
        <v>42369</v>
      </c>
      <c r="DI97" s="200">
        <v>42400</v>
      </c>
      <c r="DJ97" s="200">
        <v>42429</v>
      </c>
      <c r="DK97" s="200">
        <v>42460</v>
      </c>
      <c r="DL97" s="200">
        <v>42490</v>
      </c>
      <c r="DM97" s="200">
        <v>42521</v>
      </c>
      <c r="DN97" s="200">
        <v>42551</v>
      </c>
      <c r="DO97" s="200">
        <v>42582</v>
      </c>
      <c r="DP97" s="200">
        <v>42613</v>
      </c>
      <c r="DQ97" s="200">
        <v>42643</v>
      </c>
      <c r="DR97" s="200">
        <v>42674</v>
      </c>
      <c r="DS97" s="200">
        <v>42704</v>
      </c>
      <c r="DT97" s="200">
        <v>42735</v>
      </c>
      <c r="DU97" s="200">
        <v>42766</v>
      </c>
      <c r="DV97" s="200">
        <v>42794</v>
      </c>
      <c r="DW97" s="200">
        <v>42825</v>
      </c>
      <c r="DX97" s="200">
        <v>42855</v>
      </c>
      <c r="DY97" s="200">
        <v>42886</v>
      </c>
      <c r="DZ97" s="200">
        <v>42916</v>
      </c>
      <c r="EA97" s="200">
        <v>42947</v>
      </c>
      <c r="EB97" s="200">
        <v>42978</v>
      </c>
      <c r="EC97" s="200">
        <v>43008</v>
      </c>
      <c r="ED97" s="200">
        <v>43039</v>
      </c>
      <c r="EE97" s="200">
        <v>43069</v>
      </c>
      <c r="EF97" s="200">
        <v>43100</v>
      </c>
      <c r="EG97" s="200">
        <v>43131</v>
      </c>
      <c r="EH97" s="200">
        <v>43159</v>
      </c>
      <c r="EI97" s="200">
        <v>43190</v>
      </c>
      <c r="EJ97" s="200">
        <v>43220</v>
      </c>
      <c r="EK97" s="200">
        <v>43251</v>
      </c>
      <c r="EL97" s="200">
        <v>43281</v>
      </c>
      <c r="EM97" s="200">
        <v>43312</v>
      </c>
      <c r="EN97" s="200">
        <v>43343</v>
      </c>
      <c r="EO97" s="200">
        <v>43373</v>
      </c>
      <c r="EP97" s="200">
        <v>43404</v>
      </c>
      <c r="EQ97" s="200">
        <v>43434</v>
      </c>
      <c r="ER97" s="200">
        <v>43465</v>
      </c>
      <c r="ES97" s="200">
        <v>43496</v>
      </c>
      <c r="ET97" s="200">
        <v>43524</v>
      </c>
      <c r="EU97" s="200">
        <v>43555</v>
      </c>
      <c r="EV97" s="200">
        <v>43585</v>
      </c>
      <c r="EW97" s="200">
        <v>43616</v>
      </c>
      <c r="EX97" s="200">
        <v>43646</v>
      </c>
      <c r="EY97" s="200">
        <v>43677</v>
      </c>
      <c r="EZ97" s="200">
        <v>43708</v>
      </c>
      <c r="FA97" s="200">
        <v>43738</v>
      </c>
      <c r="FB97" s="200">
        <v>43769</v>
      </c>
      <c r="FC97" s="200">
        <v>43799</v>
      </c>
      <c r="FD97" s="200">
        <v>43830</v>
      </c>
      <c r="FE97" s="200">
        <v>43861</v>
      </c>
      <c r="FF97" s="200">
        <v>43890</v>
      </c>
      <c r="FG97" s="200">
        <v>43921</v>
      </c>
    </row>
    <row r="98" spans="1:163" ht="14.25" customHeight="1">
      <c r="A98" s="249">
        <f t="shared" ref="A98:A110" si="5">MIN(Q98:AN98)</f>
        <v>0.9</v>
      </c>
      <c r="B98" s="249">
        <f t="shared" ref="B98:B110" si="6">AVERAGE(Q98:AB98)</f>
        <v>5.8083333333333336</v>
      </c>
      <c r="C98" s="249">
        <f t="shared" ref="C98:C110" si="7">AVERAGE(AC98:AN98)</f>
        <v>2.2249999999999996</v>
      </c>
      <c r="D98" s="187" t="s">
        <v>840</v>
      </c>
      <c r="E98" s="201">
        <v>1.9</v>
      </c>
      <c r="F98" s="201">
        <v>1.5</v>
      </c>
      <c r="G98" s="201">
        <v>2</v>
      </c>
      <c r="H98" s="201">
        <v>2</v>
      </c>
      <c r="I98" s="201">
        <v>2</v>
      </c>
      <c r="J98" s="201">
        <v>1.4</v>
      </c>
      <c r="K98" s="201">
        <v>1.7</v>
      </c>
      <c r="L98" s="201">
        <v>2.2000000000000002</v>
      </c>
      <c r="M98" s="201">
        <v>3.4</v>
      </c>
      <c r="N98" s="201">
        <v>3.9</v>
      </c>
      <c r="O98" s="201">
        <v>4.5</v>
      </c>
      <c r="P98" s="201">
        <v>5.4</v>
      </c>
      <c r="Q98" s="201">
        <v>5.8</v>
      </c>
      <c r="R98" s="201">
        <v>5.4</v>
      </c>
      <c r="S98" s="201">
        <v>5.4</v>
      </c>
      <c r="T98" s="201">
        <v>5.4</v>
      </c>
      <c r="U98" s="201">
        <v>6.1</v>
      </c>
      <c r="V98" s="201">
        <v>7.3</v>
      </c>
      <c r="W98" s="201">
        <v>8</v>
      </c>
      <c r="X98" s="201">
        <v>7.1</v>
      </c>
      <c r="Y98" s="201">
        <v>6.2</v>
      </c>
      <c r="Z98" s="201">
        <v>5.7</v>
      </c>
      <c r="AA98" s="201">
        <v>4.5</v>
      </c>
      <c r="AB98" s="201">
        <v>2.8</v>
      </c>
      <c r="AC98" s="201">
        <v>3.2</v>
      </c>
      <c r="AD98" s="201">
        <v>3.8</v>
      </c>
      <c r="AE98" s="201">
        <v>3.4</v>
      </c>
      <c r="AF98" s="201">
        <v>3.5</v>
      </c>
      <c r="AG98" s="201">
        <v>2.5</v>
      </c>
      <c r="AH98" s="201">
        <v>1.9</v>
      </c>
      <c r="AI98" s="201">
        <v>1.2</v>
      </c>
      <c r="AJ98" s="201">
        <v>1.5</v>
      </c>
      <c r="AK98" s="201">
        <v>0.9</v>
      </c>
      <c r="AL98" s="201">
        <v>1.2</v>
      </c>
      <c r="AM98" s="201">
        <v>1.8</v>
      </c>
      <c r="AN98" s="201">
        <v>1.8</v>
      </c>
      <c r="AO98" s="201">
        <v>1.3</v>
      </c>
      <c r="AP98" s="201">
        <v>0.9</v>
      </c>
      <c r="AQ98" s="201">
        <v>1.1000000000000001</v>
      </c>
      <c r="AR98" s="201">
        <v>0.8</v>
      </c>
      <c r="AS98" s="201">
        <v>0.9</v>
      </c>
      <c r="AT98" s="201">
        <v>0.6</v>
      </c>
      <c r="AU98" s="201">
        <v>0.9</v>
      </c>
      <c r="AV98" s="201">
        <v>0.8</v>
      </c>
      <c r="AW98" s="201">
        <v>1.4</v>
      </c>
      <c r="AX98" s="201">
        <v>1.4</v>
      </c>
      <c r="AY98" s="201">
        <v>1.2</v>
      </c>
      <c r="AZ98" s="201">
        <v>1.7</v>
      </c>
      <c r="BA98" s="201">
        <v>1.8</v>
      </c>
      <c r="BB98" s="201">
        <v>2.2000000000000002</v>
      </c>
      <c r="BC98" s="201">
        <v>2.5</v>
      </c>
      <c r="BD98" s="201">
        <v>2.2999999999999998</v>
      </c>
      <c r="BE98" s="201">
        <v>2.5</v>
      </c>
      <c r="BF98" s="201">
        <v>2</v>
      </c>
      <c r="BG98" s="201">
        <v>1.9</v>
      </c>
      <c r="BH98" s="201">
        <v>2.1</v>
      </c>
      <c r="BI98" s="201">
        <v>2.1</v>
      </c>
      <c r="BJ98" s="201">
        <v>2.5</v>
      </c>
      <c r="BK98" s="201">
        <v>2.5</v>
      </c>
      <c r="BL98" s="201">
        <v>2.1</v>
      </c>
      <c r="BM98" s="201">
        <v>1.4</v>
      </c>
      <c r="BN98" s="201">
        <v>1.6</v>
      </c>
      <c r="BO98" s="201">
        <v>2.1</v>
      </c>
      <c r="BP98" s="201">
        <v>2.6</v>
      </c>
      <c r="BQ98" s="201">
        <v>3.5</v>
      </c>
      <c r="BR98" s="201">
        <v>3.6</v>
      </c>
      <c r="BS98" s="201">
        <v>3.4</v>
      </c>
      <c r="BT98" s="201">
        <v>4.0999999999999996</v>
      </c>
      <c r="BU98" s="201">
        <v>4.8</v>
      </c>
      <c r="BV98" s="201">
        <v>4.5999999999999996</v>
      </c>
      <c r="BW98" s="201">
        <v>4.0999999999999996</v>
      </c>
      <c r="BX98" s="201">
        <v>4.4000000000000004</v>
      </c>
      <c r="BY98" s="201">
        <v>4.5999999999999996</v>
      </c>
      <c r="BZ98" s="201">
        <v>4.4000000000000004</v>
      </c>
      <c r="CA98" s="201">
        <v>3.4</v>
      </c>
      <c r="CB98" s="201">
        <v>3.1</v>
      </c>
      <c r="CC98" s="201">
        <v>1.8</v>
      </c>
      <c r="CD98" s="201">
        <v>2.2000000000000002</v>
      </c>
      <c r="CE98" s="201">
        <v>2.7</v>
      </c>
      <c r="CF98" s="201">
        <v>2.4</v>
      </c>
      <c r="CG98" s="201">
        <v>1.7</v>
      </c>
      <c r="CH98" s="201">
        <v>0.8</v>
      </c>
      <c r="CI98" s="201">
        <v>0.7</v>
      </c>
      <c r="CJ98" s="201">
        <v>0.5</v>
      </c>
      <c r="CK98" s="201">
        <v>0.4</v>
      </c>
      <c r="CL98" s="201">
        <v>-0.2</v>
      </c>
      <c r="CM98" s="201">
        <v>-0.1</v>
      </c>
      <c r="CN98" s="201">
        <v>-0.1</v>
      </c>
      <c r="CO98" s="201">
        <v>0.4</v>
      </c>
      <c r="CP98" s="201">
        <v>0.5</v>
      </c>
      <c r="CQ98" s="201">
        <v>0.5</v>
      </c>
      <c r="CR98" s="201">
        <v>0.3</v>
      </c>
      <c r="CS98" s="201">
        <v>0.2</v>
      </c>
      <c r="CT98" s="201">
        <v>0.5</v>
      </c>
      <c r="CU98" s="201">
        <v>0.3</v>
      </c>
      <c r="CV98" s="201">
        <v>-0.1</v>
      </c>
      <c r="CW98" s="201">
        <v>-0.6</v>
      </c>
      <c r="CX98" s="201">
        <v>-0.4</v>
      </c>
      <c r="CY98" s="201">
        <v>0</v>
      </c>
      <c r="CZ98" s="201">
        <v>-0.1</v>
      </c>
      <c r="DA98" s="201">
        <v>0</v>
      </c>
      <c r="DB98" s="201">
        <v>0.1</v>
      </c>
      <c r="DC98" s="201">
        <v>-0.2</v>
      </c>
      <c r="DD98" s="201">
        <v>-0.1</v>
      </c>
      <c r="DE98" s="201">
        <v>-0.5</v>
      </c>
      <c r="DF98" s="201">
        <v>-0.5</v>
      </c>
      <c r="DG98" s="201">
        <v>-0.4</v>
      </c>
      <c r="DH98" s="201">
        <v>-0.3</v>
      </c>
      <c r="DI98" s="201">
        <v>-0.2</v>
      </c>
      <c r="DJ98" s="201">
        <v>-0.6</v>
      </c>
      <c r="DK98" s="201">
        <v>-0.9</v>
      </c>
      <c r="DL98" s="201">
        <v>-0.9</v>
      </c>
      <c r="DM98" s="201">
        <v>-1.2</v>
      </c>
      <c r="DN98" s="201">
        <v>-1.2</v>
      </c>
      <c r="DO98" s="201">
        <v>-1.1000000000000001</v>
      </c>
      <c r="DP98" s="201">
        <v>-1.5</v>
      </c>
      <c r="DQ98" s="201">
        <v>-0.7</v>
      </c>
      <c r="DR98" s="201">
        <v>-0.3</v>
      </c>
      <c r="DS98" s="201">
        <v>0.2</v>
      </c>
      <c r="DT98" s="201">
        <v>0.7</v>
      </c>
      <c r="DU98" s="201">
        <v>0.9</v>
      </c>
      <c r="DV98" s="201">
        <v>1.4</v>
      </c>
      <c r="DW98" s="201">
        <v>1.1000000000000001</v>
      </c>
      <c r="DX98" s="201">
        <v>1.4</v>
      </c>
      <c r="DY98" s="201">
        <v>1</v>
      </c>
      <c r="DZ98" s="201">
        <v>1.1000000000000001</v>
      </c>
      <c r="EA98" s="201">
        <v>1.2</v>
      </c>
      <c r="EB98" s="201">
        <v>1.5</v>
      </c>
      <c r="EC98" s="201">
        <v>1.6</v>
      </c>
      <c r="ED98" s="201">
        <v>1.6</v>
      </c>
      <c r="EE98" s="201">
        <v>1.6</v>
      </c>
      <c r="EF98" s="201">
        <v>1.3</v>
      </c>
      <c r="EG98" s="201">
        <v>1.2</v>
      </c>
      <c r="EH98" s="201">
        <v>0.9</v>
      </c>
      <c r="EI98" s="201">
        <v>1.2</v>
      </c>
      <c r="EJ98" s="201">
        <v>1.4</v>
      </c>
      <c r="EK98" s="201">
        <v>1.8</v>
      </c>
      <c r="EL98" s="201">
        <v>2.2000000000000002</v>
      </c>
      <c r="EM98" s="201">
        <v>2.2000000000000002</v>
      </c>
      <c r="EN98" s="201">
        <v>2.1</v>
      </c>
      <c r="EO98" s="201">
        <v>1.6</v>
      </c>
      <c r="EP98" s="201">
        <v>1.7</v>
      </c>
      <c r="EQ98" s="201">
        <v>1.3</v>
      </c>
      <c r="ER98" s="201">
        <v>1</v>
      </c>
      <c r="ES98" s="201">
        <v>0.6</v>
      </c>
      <c r="ET98" s="201">
        <v>0.8</v>
      </c>
      <c r="EU98" s="201">
        <v>1.1000000000000001</v>
      </c>
      <c r="EV98" s="201">
        <v>0.8</v>
      </c>
      <c r="EW98" s="201">
        <v>1</v>
      </c>
      <c r="EX98" s="201">
        <v>0.5</v>
      </c>
      <c r="EY98" s="201">
        <v>0.9</v>
      </c>
      <c r="EZ98" s="201">
        <v>0.6</v>
      </c>
      <c r="FA98" s="201">
        <v>0.6</v>
      </c>
      <c r="FB98" s="201">
        <v>0.6</v>
      </c>
      <c r="FC98" s="201">
        <v>0.8</v>
      </c>
      <c r="FD98" s="201">
        <v>1.3</v>
      </c>
      <c r="FE98" s="201">
        <v>1.8</v>
      </c>
      <c r="FF98" s="201">
        <v>1.2</v>
      </c>
      <c r="FG98" s="201">
        <v>0.5</v>
      </c>
    </row>
    <row r="99" spans="1:163" ht="14.25" customHeight="1">
      <c r="A99" s="249">
        <f t="shared" si="5"/>
        <v>-2</v>
      </c>
      <c r="B99" s="249">
        <f t="shared" si="6"/>
        <v>9.6500000000000021</v>
      </c>
      <c r="C99" s="249">
        <f t="shared" si="7"/>
        <v>1.7333333333333327</v>
      </c>
      <c r="D99" s="187" t="s">
        <v>849</v>
      </c>
      <c r="E99" s="202">
        <v>1.2</v>
      </c>
      <c r="F99" s="202">
        <v>0.2</v>
      </c>
      <c r="G99" s="202">
        <v>1.1000000000000001</v>
      </c>
      <c r="H99" s="202">
        <v>1.1000000000000001</v>
      </c>
      <c r="I99" s="202">
        <v>0.2</v>
      </c>
      <c r="J99" s="202">
        <v>-1</v>
      </c>
      <c r="K99" s="202">
        <v>0.3</v>
      </c>
      <c r="L99" s="202">
        <v>2.2000000000000002</v>
      </c>
      <c r="M99" s="202">
        <v>5.5</v>
      </c>
      <c r="N99" s="202">
        <v>6.6</v>
      </c>
      <c r="O99" s="202">
        <v>7.4</v>
      </c>
      <c r="P99" s="202">
        <v>10.1</v>
      </c>
      <c r="Q99" s="202">
        <v>10.4</v>
      </c>
      <c r="R99" s="202">
        <v>9.1999999999999993</v>
      </c>
      <c r="S99" s="202">
        <v>8.6</v>
      </c>
      <c r="T99" s="202">
        <v>8.9</v>
      </c>
      <c r="U99" s="202">
        <v>10.3</v>
      </c>
      <c r="V99" s="202">
        <v>12.7</v>
      </c>
      <c r="W99" s="202">
        <v>13.4</v>
      </c>
      <c r="X99" s="202">
        <v>12</v>
      </c>
      <c r="Y99" s="202">
        <v>9.4</v>
      </c>
      <c r="Z99" s="202">
        <v>9</v>
      </c>
      <c r="AA99" s="202">
        <v>6.9</v>
      </c>
      <c r="AB99" s="202">
        <v>5</v>
      </c>
      <c r="AC99" s="202">
        <v>4.7</v>
      </c>
      <c r="AD99" s="202">
        <v>6.2</v>
      </c>
      <c r="AE99" s="202">
        <v>6.3</v>
      </c>
      <c r="AF99" s="202">
        <v>4.5999999999999996</v>
      </c>
      <c r="AG99" s="202">
        <v>2.9</v>
      </c>
      <c r="AH99" s="202">
        <v>1.5</v>
      </c>
      <c r="AI99" s="202">
        <v>0.5</v>
      </c>
      <c r="AJ99" s="202">
        <v>-0.3</v>
      </c>
      <c r="AK99" s="202">
        <v>-0.9</v>
      </c>
      <c r="AL99" s="202">
        <v>-1.6</v>
      </c>
      <c r="AM99" s="202">
        <v>-1.1000000000000001</v>
      </c>
      <c r="AN99" s="202">
        <v>-2</v>
      </c>
      <c r="AO99" s="202">
        <v>-2.6</v>
      </c>
      <c r="AP99" s="202">
        <v>-3.3</v>
      </c>
      <c r="AQ99" s="202">
        <v>-3.4</v>
      </c>
      <c r="AR99" s="202">
        <v>-2.9</v>
      </c>
      <c r="AS99" s="202">
        <v>-2.8</v>
      </c>
      <c r="AT99" s="202">
        <v>-2.6</v>
      </c>
      <c r="AU99" s="202">
        <v>-1.1000000000000001</v>
      </c>
      <c r="AV99" s="202">
        <v>-0.8</v>
      </c>
      <c r="AW99" s="202">
        <v>0.1</v>
      </c>
      <c r="AX99" s="202">
        <v>0.2</v>
      </c>
      <c r="AY99" s="202">
        <v>-0.1</v>
      </c>
      <c r="AZ99" s="202">
        <v>0.9</v>
      </c>
      <c r="BA99" s="202">
        <v>2.2999999999999998</v>
      </c>
      <c r="BB99" s="202">
        <v>3.7</v>
      </c>
      <c r="BC99" s="202">
        <v>4.4000000000000004</v>
      </c>
      <c r="BD99" s="202">
        <v>3.4</v>
      </c>
      <c r="BE99" s="202">
        <v>4.5999999999999996</v>
      </c>
      <c r="BF99" s="202">
        <v>3.3</v>
      </c>
      <c r="BG99" s="202">
        <v>2.8</v>
      </c>
      <c r="BH99" s="202">
        <v>2.9</v>
      </c>
      <c r="BI99" s="202">
        <v>2.9</v>
      </c>
      <c r="BJ99" s="202">
        <v>3.8</v>
      </c>
      <c r="BK99" s="202">
        <v>4.4000000000000004</v>
      </c>
      <c r="BL99" s="202">
        <v>3.7</v>
      </c>
      <c r="BM99" s="202">
        <v>2.1</v>
      </c>
      <c r="BN99" s="202">
        <v>2.4</v>
      </c>
      <c r="BO99" s="202">
        <v>1.7</v>
      </c>
      <c r="BP99" s="202">
        <v>2.8</v>
      </c>
      <c r="BQ99" s="202">
        <v>2</v>
      </c>
      <c r="BR99" s="202">
        <v>3</v>
      </c>
      <c r="BS99" s="202">
        <v>3.8</v>
      </c>
      <c r="BT99" s="202">
        <v>4.8</v>
      </c>
      <c r="BU99" s="202">
        <v>5.7</v>
      </c>
      <c r="BV99" s="202">
        <v>5</v>
      </c>
      <c r="BW99" s="202">
        <v>4.4000000000000004</v>
      </c>
      <c r="BX99" s="202">
        <v>5.6</v>
      </c>
      <c r="BY99" s="202">
        <v>6.3</v>
      </c>
      <c r="BZ99" s="202">
        <v>5.2</v>
      </c>
      <c r="CA99" s="202">
        <v>4.5999999999999996</v>
      </c>
      <c r="CB99" s="202">
        <v>5.3</v>
      </c>
      <c r="CC99" s="202">
        <v>6.5</v>
      </c>
      <c r="CD99" s="202">
        <v>6.5</v>
      </c>
      <c r="CE99" s="202">
        <v>4.8</v>
      </c>
      <c r="CF99" s="202">
        <v>4.2</v>
      </c>
      <c r="CG99" s="202">
        <v>2.8</v>
      </c>
      <c r="CH99" s="202">
        <v>1.6</v>
      </c>
      <c r="CI99" s="202">
        <v>1</v>
      </c>
      <c r="CJ99" s="202">
        <v>-0.2</v>
      </c>
      <c r="CK99" s="202">
        <v>-0.7</v>
      </c>
      <c r="CL99" s="202">
        <v>-1.4</v>
      </c>
      <c r="CM99" s="202">
        <v>-1.3</v>
      </c>
      <c r="CN99" s="202">
        <v>-2.5</v>
      </c>
      <c r="CO99" s="202">
        <v>-4.0999999999999996</v>
      </c>
      <c r="CP99" s="202">
        <v>-4.4000000000000004</v>
      </c>
      <c r="CQ99" s="202">
        <v>-3.2</v>
      </c>
      <c r="CR99" s="202">
        <v>-3.4</v>
      </c>
      <c r="CS99" s="202">
        <v>-2.7</v>
      </c>
      <c r="CT99" s="202">
        <v>-2.2000000000000002</v>
      </c>
      <c r="CU99" s="202">
        <v>-1.4</v>
      </c>
      <c r="CV99" s="202">
        <v>-1.9</v>
      </c>
      <c r="CW99" s="202">
        <v>-0.8</v>
      </c>
      <c r="CX99" s="202">
        <v>0.2</v>
      </c>
      <c r="CY99" s="202">
        <v>0.4</v>
      </c>
      <c r="CZ99" s="202">
        <v>0.5</v>
      </c>
      <c r="DA99" s="202">
        <v>0.4</v>
      </c>
      <c r="DB99" s="202">
        <v>0.7</v>
      </c>
      <c r="DC99" s="202">
        <v>0.4</v>
      </c>
      <c r="DD99" s="202">
        <v>0.7</v>
      </c>
      <c r="DE99" s="202">
        <v>0</v>
      </c>
      <c r="DF99" s="202">
        <v>0.7</v>
      </c>
      <c r="DG99" s="202">
        <v>0.4</v>
      </c>
      <c r="DH99" s="202">
        <v>0.2</v>
      </c>
      <c r="DI99" s="202">
        <v>-0.4</v>
      </c>
      <c r="DJ99" s="202">
        <v>-1.3</v>
      </c>
      <c r="DK99" s="202">
        <v>-2</v>
      </c>
      <c r="DL99" s="202">
        <v>-1.5</v>
      </c>
      <c r="DM99" s="202">
        <v>-0.1</v>
      </c>
      <c r="DN99" s="202">
        <v>-0.1</v>
      </c>
      <c r="DO99" s="202">
        <v>0.3</v>
      </c>
      <c r="DP99" s="202">
        <v>-0.7</v>
      </c>
      <c r="DQ99" s="202">
        <v>-0.3</v>
      </c>
      <c r="DR99" s="202">
        <v>-0.2</v>
      </c>
      <c r="DS99" s="202">
        <v>0.2</v>
      </c>
      <c r="DT99" s="202">
        <v>0.9</v>
      </c>
      <c r="DU99" s="202">
        <v>2.4</v>
      </c>
      <c r="DV99" s="202">
        <v>3.2</v>
      </c>
      <c r="DW99" s="202">
        <v>3.3</v>
      </c>
      <c r="DX99" s="202">
        <v>3.5</v>
      </c>
      <c r="DY99" s="202">
        <v>2.4</v>
      </c>
      <c r="DZ99" s="202">
        <v>2.1</v>
      </c>
      <c r="EA99" s="202">
        <v>2.6</v>
      </c>
      <c r="EB99" s="202">
        <v>3.2</v>
      </c>
      <c r="EC99" s="202">
        <v>3.6</v>
      </c>
      <c r="ED99" s="202">
        <v>3.3</v>
      </c>
      <c r="EE99" s="202">
        <v>2.9</v>
      </c>
      <c r="EF99" s="202">
        <v>2</v>
      </c>
      <c r="EG99" s="202">
        <v>0.8</v>
      </c>
      <c r="EH99" s="202">
        <v>0.3</v>
      </c>
      <c r="EI99" s="202">
        <v>0.9</v>
      </c>
      <c r="EJ99" s="202">
        <v>1</v>
      </c>
      <c r="EK99" s="202">
        <v>1.2</v>
      </c>
      <c r="EL99" s="202">
        <v>2</v>
      </c>
      <c r="EM99" s="202">
        <v>1.5</v>
      </c>
      <c r="EN99" s="202">
        <v>1.2</v>
      </c>
      <c r="EO99" s="202">
        <v>0.2</v>
      </c>
      <c r="EP99" s="202">
        <v>0.4</v>
      </c>
      <c r="EQ99" s="202">
        <v>0.3</v>
      </c>
      <c r="ER99" s="202">
        <v>0.4</v>
      </c>
      <c r="ES99" s="202">
        <v>-0.6</v>
      </c>
      <c r="ET99" s="202">
        <v>-0.6</v>
      </c>
      <c r="EU99" s="202">
        <v>-0.3</v>
      </c>
      <c r="EV99" s="202">
        <v>-1.6</v>
      </c>
      <c r="EW99" s="202">
        <v>-0.6</v>
      </c>
      <c r="EX99" s="202">
        <v>-0.3</v>
      </c>
      <c r="EY99" s="202">
        <v>0.3</v>
      </c>
      <c r="EZ99" s="202">
        <v>0.3</v>
      </c>
      <c r="FA99" s="202">
        <v>0.4</v>
      </c>
      <c r="FB99" s="202">
        <v>0.2</v>
      </c>
      <c r="FC99" s="202">
        <v>0.3</v>
      </c>
      <c r="FD99" s="202">
        <v>1.9</v>
      </c>
      <c r="FE99" s="202">
        <v>2.8</v>
      </c>
      <c r="FF99" s="202">
        <v>2.4</v>
      </c>
      <c r="FG99" s="202">
        <v>2.6</v>
      </c>
    </row>
    <row r="100" spans="1:163" ht="14.25" customHeight="1">
      <c r="A100" s="249">
        <f t="shared" si="5"/>
        <v>2.2000000000000002</v>
      </c>
      <c r="B100" s="249">
        <f t="shared" si="6"/>
        <v>4.9999999999999991</v>
      </c>
      <c r="C100" s="249">
        <f t="shared" si="7"/>
        <v>11.808333333333335</v>
      </c>
      <c r="D100" s="187" t="s">
        <v>857</v>
      </c>
      <c r="E100" s="202">
        <v>2.1</v>
      </c>
      <c r="F100" s="202">
        <v>1.5</v>
      </c>
      <c r="G100" s="202">
        <v>1.6</v>
      </c>
      <c r="H100" s="202">
        <v>1.4</v>
      </c>
      <c r="I100" s="202">
        <v>2.7</v>
      </c>
      <c r="J100" s="202">
        <v>2.7</v>
      </c>
      <c r="K100" s="202">
        <v>3.8</v>
      </c>
      <c r="L100" s="202">
        <v>3.8</v>
      </c>
      <c r="M100" s="202">
        <v>3.8</v>
      </c>
      <c r="N100" s="202">
        <v>3.7</v>
      </c>
      <c r="O100" s="202">
        <v>3.8</v>
      </c>
      <c r="P100" s="202">
        <v>5.9</v>
      </c>
      <c r="Q100" s="202">
        <v>6.1</v>
      </c>
      <c r="R100" s="202">
        <v>6</v>
      </c>
      <c r="S100" s="202">
        <v>6.1</v>
      </c>
      <c r="T100" s="202">
        <v>6.8</v>
      </c>
      <c r="U100" s="202">
        <v>5.4</v>
      </c>
      <c r="V100" s="202">
        <v>5.3</v>
      </c>
      <c r="W100" s="202">
        <v>4.3</v>
      </c>
      <c r="X100" s="202">
        <v>4.5</v>
      </c>
      <c r="Y100" s="202">
        <v>4.5</v>
      </c>
      <c r="Z100" s="202">
        <v>4.5</v>
      </c>
      <c r="AA100" s="202">
        <v>4.3</v>
      </c>
      <c r="AB100" s="202">
        <v>2.2000000000000002</v>
      </c>
      <c r="AC100" s="202">
        <v>6.8</v>
      </c>
      <c r="AD100" s="202">
        <v>7.1</v>
      </c>
      <c r="AE100" s="202">
        <v>6.9</v>
      </c>
      <c r="AF100" s="202">
        <v>14.5</v>
      </c>
      <c r="AG100" s="202">
        <v>14.2</v>
      </c>
      <c r="AH100" s="202">
        <v>14.1</v>
      </c>
      <c r="AI100" s="202">
        <v>14.2</v>
      </c>
      <c r="AJ100" s="202">
        <v>13.9</v>
      </c>
      <c r="AK100" s="202">
        <v>12.4</v>
      </c>
      <c r="AL100" s="202">
        <v>12.5</v>
      </c>
      <c r="AM100" s="202">
        <v>12.5</v>
      </c>
      <c r="AN100" s="202">
        <v>12.6</v>
      </c>
      <c r="AO100" s="202">
        <v>7.7</v>
      </c>
      <c r="AP100" s="202">
        <v>7.5</v>
      </c>
      <c r="AQ100" s="202">
        <v>7.5</v>
      </c>
      <c r="AR100" s="202">
        <v>-0.3</v>
      </c>
      <c r="AS100" s="202">
        <v>-0.1</v>
      </c>
      <c r="AT100" s="202">
        <v>0.1</v>
      </c>
      <c r="AU100" s="202">
        <v>-0.1</v>
      </c>
      <c r="AV100" s="202">
        <v>-0.3</v>
      </c>
      <c r="AW100" s="202">
        <v>1</v>
      </c>
      <c r="AX100" s="202">
        <v>0.8</v>
      </c>
      <c r="AY100" s="202">
        <v>3.8</v>
      </c>
      <c r="AZ100" s="202">
        <v>3.6</v>
      </c>
      <c r="BA100" s="202">
        <v>5.8</v>
      </c>
      <c r="BB100" s="202">
        <v>5.5</v>
      </c>
      <c r="BC100" s="202">
        <v>6.6</v>
      </c>
      <c r="BD100" s="202">
        <v>6.5</v>
      </c>
      <c r="BE100" s="202">
        <v>6.2</v>
      </c>
      <c r="BF100" s="202">
        <v>6.1</v>
      </c>
      <c r="BG100" s="202">
        <v>7.2</v>
      </c>
      <c r="BH100" s="202">
        <v>7.2</v>
      </c>
      <c r="BI100" s="202">
        <v>7.1</v>
      </c>
      <c r="BJ100" s="202">
        <v>7.5</v>
      </c>
      <c r="BK100" s="202">
        <v>4.9000000000000004</v>
      </c>
      <c r="BL100" s="202">
        <v>5</v>
      </c>
      <c r="BM100" s="202">
        <v>2.8</v>
      </c>
      <c r="BN100" s="202">
        <v>2.8</v>
      </c>
      <c r="BO100" s="202">
        <v>2</v>
      </c>
      <c r="BP100" s="202">
        <v>3.7</v>
      </c>
      <c r="BQ100" s="202">
        <v>3.6</v>
      </c>
      <c r="BR100" s="202">
        <v>4.5999999999999996</v>
      </c>
      <c r="BS100" s="202">
        <v>3.4</v>
      </c>
      <c r="BT100" s="202">
        <v>4.3</v>
      </c>
      <c r="BU100" s="202">
        <v>5.2</v>
      </c>
      <c r="BV100" s="202">
        <v>5</v>
      </c>
      <c r="BW100" s="202">
        <v>4.7</v>
      </c>
      <c r="BX100" s="202">
        <v>4.8</v>
      </c>
      <c r="BY100" s="202">
        <v>4.7</v>
      </c>
      <c r="BZ100" s="202">
        <v>7.7</v>
      </c>
      <c r="CA100" s="202">
        <v>7.5</v>
      </c>
      <c r="CB100" s="202">
        <v>6.9</v>
      </c>
      <c r="CC100" s="202">
        <v>6.8</v>
      </c>
      <c r="CD100" s="202">
        <v>5.9</v>
      </c>
      <c r="CE100" s="202">
        <v>11</v>
      </c>
      <c r="CF100" s="202">
        <v>10.8</v>
      </c>
      <c r="CG100" s="202">
        <v>10.1</v>
      </c>
      <c r="CH100" s="202">
        <v>10.4</v>
      </c>
      <c r="CI100" s="202">
        <v>10.3</v>
      </c>
      <c r="CJ100" s="202">
        <v>9.9</v>
      </c>
      <c r="CK100" s="202">
        <v>10</v>
      </c>
      <c r="CL100" s="202">
        <v>7.1</v>
      </c>
      <c r="CM100" s="202">
        <v>8.1999999999999993</v>
      </c>
      <c r="CN100" s="202">
        <v>8.1</v>
      </c>
      <c r="CO100" s="202">
        <v>8.4</v>
      </c>
      <c r="CP100" s="202">
        <v>8.1999999999999993</v>
      </c>
      <c r="CQ100" s="202">
        <v>3.5</v>
      </c>
      <c r="CR100" s="202">
        <v>2.9</v>
      </c>
      <c r="CS100" s="202">
        <v>2.7</v>
      </c>
      <c r="CT100" s="202">
        <v>2.2999999999999998</v>
      </c>
      <c r="CU100" s="202">
        <v>2.6</v>
      </c>
      <c r="CV100" s="202">
        <v>3.1</v>
      </c>
      <c r="CW100" s="202">
        <v>2.9</v>
      </c>
      <c r="CX100" s="202">
        <v>3</v>
      </c>
      <c r="CY100" s="202">
        <v>1.7</v>
      </c>
      <c r="CZ100" s="202">
        <v>2</v>
      </c>
      <c r="DA100" s="202">
        <v>1.9</v>
      </c>
      <c r="DB100" s="202">
        <v>1.8</v>
      </c>
      <c r="DC100" s="202">
        <v>1.5</v>
      </c>
      <c r="DD100" s="202">
        <v>1.9</v>
      </c>
      <c r="DE100" s="202">
        <v>1.9</v>
      </c>
      <c r="DF100" s="202">
        <v>1.8</v>
      </c>
      <c r="DG100" s="202">
        <v>1.2</v>
      </c>
      <c r="DH100" s="202">
        <v>0.9</v>
      </c>
      <c r="DI100" s="202">
        <v>0.9</v>
      </c>
      <c r="DJ100" s="202">
        <v>1.2</v>
      </c>
      <c r="DK100" s="202">
        <v>1.3</v>
      </c>
      <c r="DL100" s="202">
        <v>0.1</v>
      </c>
      <c r="DM100" s="202">
        <v>0.2</v>
      </c>
      <c r="DN100" s="202">
        <v>0.3</v>
      </c>
      <c r="DO100" s="202">
        <v>0.5</v>
      </c>
      <c r="DP100" s="202">
        <v>0.1</v>
      </c>
      <c r="DQ100" s="202">
        <v>0.2</v>
      </c>
      <c r="DR100" s="202">
        <v>0.3</v>
      </c>
      <c r="DS100" s="202">
        <v>0.3</v>
      </c>
      <c r="DT100" s="202">
        <v>2.4</v>
      </c>
      <c r="DU100" s="202">
        <v>2.2000000000000002</v>
      </c>
      <c r="DV100" s="202">
        <v>1.9</v>
      </c>
      <c r="DW100" s="202">
        <v>2.2000000000000002</v>
      </c>
      <c r="DX100" s="202">
        <v>2.4</v>
      </c>
      <c r="DY100" s="202">
        <v>1.8</v>
      </c>
      <c r="DZ100" s="202">
        <v>2.2000000000000002</v>
      </c>
      <c r="EA100" s="202">
        <v>2.1</v>
      </c>
      <c r="EB100" s="202">
        <v>1.8</v>
      </c>
      <c r="EC100" s="202">
        <v>2</v>
      </c>
      <c r="ED100" s="202">
        <v>1.9</v>
      </c>
      <c r="EE100" s="202">
        <v>2.1</v>
      </c>
      <c r="EF100" s="202">
        <v>1.3</v>
      </c>
      <c r="EG100" s="202">
        <v>2.1</v>
      </c>
      <c r="EH100" s="202">
        <v>2</v>
      </c>
      <c r="EI100" s="202">
        <v>1.7</v>
      </c>
      <c r="EJ100" s="202">
        <v>1.7</v>
      </c>
      <c r="EK100" s="202">
        <v>2.5</v>
      </c>
      <c r="EL100" s="202">
        <v>1.6</v>
      </c>
      <c r="EM100" s="202">
        <v>1.7</v>
      </c>
      <c r="EN100" s="202">
        <v>2.5</v>
      </c>
      <c r="EO100" s="202">
        <v>1.9</v>
      </c>
      <c r="EP100" s="202">
        <v>2.2000000000000002</v>
      </c>
      <c r="EQ100" s="202">
        <v>2.4</v>
      </c>
      <c r="ER100" s="202">
        <v>3.9</v>
      </c>
      <c r="ES100" s="202">
        <v>3.6</v>
      </c>
      <c r="ET100" s="202">
        <v>3.4</v>
      </c>
      <c r="EU100" s="202">
        <v>3.9</v>
      </c>
      <c r="EV100" s="202">
        <v>3.8</v>
      </c>
      <c r="EW100" s="202">
        <v>3.5</v>
      </c>
      <c r="EX100" s="202">
        <v>3.8</v>
      </c>
      <c r="EY100" s="202">
        <v>4</v>
      </c>
      <c r="EZ100" s="202">
        <v>3.6</v>
      </c>
      <c r="FA100" s="202">
        <v>3.7</v>
      </c>
      <c r="FB100" s="202">
        <v>3.7</v>
      </c>
      <c r="FC100" s="202">
        <v>3.9</v>
      </c>
      <c r="FD100" s="202">
        <v>1</v>
      </c>
      <c r="FE100" s="202">
        <v>0.8</v>
      </c>
      <c r="FF100" s="202">
        <v>1.3</v>
      </c>
      <c r="FG100" s="202">
        <v>0.5</v>
      </c>
    </row>
    <row r="101" spans="1:163" ht="14.25" customHeight="1">
      <c r="A101" s="249">
        <f t="shared" si="5"/>
        <v>-4.4000000000000004</v>
      </c>
      <c r="B101" s="249">
        <f t="shared" si="6"/>
        <v>2.7416666666666667</v>
      </c>
      <c r="C101" s="249">
        <f t="shared" si="7"/>
        <v>-0.13333333333333339</v>
      </c>
      <c r="D101" s="187" t="s">
        <v>868</v>
      </c>
      <c r="E101" s="202">
        <v>5</v>
      </c>
      <c r="F101" s="202">
        <v>4.5999999999999996</v>
      </c>
      <c r="G101" s="202">
        <v>5.0999999999999996</v>
      </c>
      <c r="H101" s="202">
        <v>5.4</v>
      </c>
      <c r="I101" s="202">
        <v>5.8</v>
      </c>
      <c r="J101" s="202">
        <v>5.5</v>
      </c>
      <c r="K101" s="202">
        <v>4.9000000000000004</v>
      </c>
      <c r="L101" s="202">
        <v>5.5</v>
      </c>
      <c r="M101" s="202">
        <v>4.9000000000000004</v>
      </c>
      <c r="N101" s="202">
        <v>4.8</v>
      </c>
      <c r="O101" s="202">
        <v>4.9000000000000004</v>
      </c>
      <c r="P101" s="202">
        <v>5.0999999999999996</v>
      </c>
      <c r="Q101" s="202">
        <v>3.8</v>
      </c>
      <c r="R101" s="202">
        <v>3.8</v>
      </c>
      <c r="S101" s="202">
        <v>3.7</v>
      </c>
      <c r="T101" s="202">
        <v>3</v>
      </c>
      <c r="U101" s="202">
        <v>3.1</v>
      </c>
      <c r="V101" s="202">
        <v>2.8</v>
      </c>
      <c r="W101" s="202">
        <v>2.2999999999999998</v>
      </c>
      <c r="X101" s="202">
        <v>2.1</v>
      </c>
      <c r="Y101" s="202">
        <v>3</v>
      </c>
      <c r="Z101" s="202">
        <v>2.4</v>
      </c>
      <c r="AA101" s="202">
        <v>4</v>
      </c>
      <c r="AB101" s="202">
        <v>-1.1000000000000001</v>
      </c>
      <c r="AC101" s="202">
        <v>0</v>
      </c>
      <c r="AD101" s="202">
        <v>0.4</v>
      </c>
      <c r="AE101" s="202">
        <v>1.6</v>
      </c>
      <c r="AF101" s="202">
        <v>2.7</v>
      </c>
      <c r="AG101" s="202">
        <v>2.2999999999999998</v>
      </c>
      <c r="AH101" s="202">
        <v>1.9</v>
      </c>
      <c r="AI101" s="202">
        <v>1.1000000000000001</v>
      </c>
      <c r="AJ101" s="202">
        <v>-1.5</v>
      </c>
      <c r="AK101" s="202">
        <v>-2.2000000000000002</v>
      </c>
      <c r="AL101" s="202">
        <v>-0.3</v>
      </c>
      <c r="AM101" s="202">
        <v>-3.2</v>
      </c>
      <c r="AN101" s="202">
        <v>-4.4000000000000004</v>
      </c>
      <c r="AO101" s="202">
        <v>-4.9000000000000004</v>
      </c>
      <c r="AP101" s="202">
        <v>-3.4</v>
      </c>
      <c r="AQ101" s="202">
        <v>-4.5999999999999996</v>
      </c>
      <c r="AR101" s="202">
        <v>-3.9</v>
      </c>
      <c r="AS101" s="202">
        <v>-4.4000000000000004</v>
      </c>
      <c r="AT101" s="202">
        <v>-6.2</v>
      </c>
      <c r="AU101" s="202">
        <v>-6.2</v>
      </c>
      <c r="AV101" s="202">
        <v>-5</v>
      </c>
      <c r="AW101" s="202">
        <v>-2.7</v>
      </c>
      <c r="AX101" s="202">
        <v>-4.8</v>
      </c>
      <c r="AY101" s="202">
        <v>-3.8</v>
      </c>
      <c r="AZ101" s="202">
        <v>-2.1</v>
      </c>
      <c r="BA101" s="202">
        <v>-1.1000000000000001</v>
      </c>
      <c r="BB101" s="202">
        <v>-3.1</v>
      </c>
      <c r="BC101" s="202">
        <v>-2.9</v>
      </c>
      <c r="BD101" s="202">
        <v>-4</v>
      </c>
      <c r="BE101" s="202">
        <v>-3.2</v>
      </c>
      <c r="BF101" s="202">
        <v>-4.7</v>
      </c>
      <c r="BG101" s="202">
        <v>-5.9</v>
      </c>
      <c r="BH101" s="202">
        <v>-7.3</v>
      </c>
      <c r="BI101" s="202">
        <v>-6.6</v>
      </c>
      <c r="BJ101" s="202">
        <v>-1.6</v>
      </c>
      <c r="BK101" s="202">
        <v>-1.1000000000000001</v>
      </c>
      <c r="BL101" s="202">
        <v>0.4</v>
      </c>
      <c r="BM101" s="202">
        <v>-3.9</v>
      </c>
      <c r="BN101" s="202">
        <v>-6.7</v>
      </c>
      <c r="BO101" s="202">
        <v>-4.2</v>
      </c>
      <c r="BP101" s="202">
        <v>-2.7</v>
      </c>
      <c r="BQ101" s="202">
        <v>-3.5</v>
      </c>
      <c r="BR101" s="202">
        <v>-3.5</v>
      </c>
      <c r="BS101" s="202">
        <v>-4.5999999999999996</v>
      </c>
      <c r="BT101" s="202">
        <v>-3.7</v>
      </c>
      <c r="BU101" s="202">
        <v>-2.9</v>
      </c>
      <c r="BV101" s="202">
        <v>-2.5</v>
      </c>
      <c r="BW101" s="202">
        <v>-2.7</v>
      </c>
      <c r="BX101" s="202">
        <v>-4.9000000000000004</v>
      </c>
      <c r="BY101" s="202">
        <v>-3.9</v>
      </c>
      <c r="BZ101" s="202">
        <v>-3.3</v>
      </c>
      <c r="CA101" s="202">
        <v>-3.9</v>
      </c>
      <c r="CB101" s="202">
        <v>-4</v>
      </c>
      <c r="CC101" s="202">
        <v>-4</v>
      </c>
      <c r="CD101" s="202">
        <v>-2.8</v>
      </c>
      <c r="CE101" s="202">
        <v>-1.6</v>
      </c>
      <c r="CF101" s="202">
        <v>-1.8</v>
      </c>
      <c r="CG101" s="202">
        <v>-1.9</v>
      </c>
      <c r="CH101" s="202">
        <v>-3.9</v>
      </c>
      <c r="CI101" s="202">
        <v>-5.0999999999999996</v>
      </c>
      <c r="CJ101" s="202">
        <v>-5.4</v>
      </c>
      <c r="CK101" s="202">
        <v>-5.4</v>
      </c>
      <c r="CL101" s="202">
        <v>-5.2</v>
      </c>
      <c r="CM101" s="202">
        <v>-2</v>
      </c>
      <c r="CN101" s="202">
        <v>-4.3</v>
      </c>
      <c r="CO101" s="202">
        <v>-4.5999999999999996</v>
      </c>
      <c r="CP101" s="202">
        <v>-4.5999999999999996</v>
      </c>
      <c r="CQ101" s="202">
        <v>-4.4000000000000004</v>
      </c>
      <c r="CR101" s="202">
        <v>-3.9</v>
      </c>
      <c r="CS101" s="202">
        <v>-2.1</v>
      </c>
      <c r="CT101" s="202">
        <v>-3.6</v>
      </c>
      <c r="CU101" s="202">
        <v>-3.3</v>
      </c>
      <c r="CV101" s="202">
        <v>-4</v>
      </c>
      <c r="CW101" s="202">
        <v>-2.6</v>
      </c>
      <c r="CX101" s="202">
        <v>-0.7</v>
      </c>
      <c r="CY101" s="202">
        <v>-0.5</v>
      </c>
      <c r="CZ101" s="202">
        <v>0</v>
      </c>
      <c r="DA101" s="202">
        <v>-0.1</v>
      </c>
      <c r="DB101" s="202">
        <v>-0.3</v>
      </c>
      <c r="DC101" s="202">
        <v>-1.5</v>
      </c>
      <c r="DD101" s="202">
        <v>-1.1000000000000001</v>
      </c>
      <c r="DE101" s="202">
        <v>0</v>
      </c>
      <c r="DF101" s="202">
        <v>1.3</v>
      </c>
      <c r="DG101" s="202">
        <v>1.1000000000000001</v>
      </c>
      <c r="DH101" s="202">
        <v>3.2</v>
      </c>
      <c r="DI101" s="202">
        <v>0.2</v>
      </c>
      <c r="DJ101" s="202">
        <v>-1.5</v>
      </c>
      <c r="DK101" s="202">
        <v>2.4</v>
      </c>
      <c r="DL101" s="202">
        <v>1.7</v>
      </c>
      <c r="DM101" s="202">
        <v>-0.2</v>
      </c>
      <c r="DN101" s="202">
        <v>-1.7</v>
      </c>
      <c r="DO101" s="202">
        <v>-2.7</v>
      </c>
      <c r="DP101" s="202">
        <v>-1.3</v>
      </c>
      <c r="DQ101" s="202">
        <v>1.6</v>
      </c>
      <c r="DR101" s="202">
        <v>1.5</v>
      </c>
      <c r="DS101" s="202">
        <v>2</v>
      </c>
      <c r="DT101" s="202">
        <v>-0.6</v>
      </c>
      <c r="DU101" s="202">
        <v>-1.2</v>
      </c>
      <c r="DV101" s="202">
        <v>0.7</v>
      </c>
      <c r="DW101" s="202">
        <v>-1</v>
      </c>
      <c r="DX101" s="202">
        <v>1.5</v>
      </c>
      <c r="DY101" s="202">
        <v>1.8</v>
      </c>
      <c r="DZ101" s="202">
        <v>1.3</v>
      </c>
      <c r="EA101" s="202">
        <v>2.6</v>
      </c>
      <c r="EB101" s="202">
        <v>-1.2</v>
      </c>
      <c r="EC101" s="202">
        <v>0</v>
      </c>
      <c r="ED101" s="202">
        <v>0.7</v>
      </c>
      <c r="EE101" s="202">
        <v>0.4</v>
      </c>
      <c r="EF101" s="202">
        <v>2.4</v>
      </c>
      <c r="EG101" s="202">
        <v>-0.3</v>
      </c>
      <c r="EH101" s="202">
        <v>-0.8</v>
      </c>
      <c r="EI101" s="202">
        <v>0</v>
      </c>
      <c r="EJ101" s="202">
        <v>-1</v>
      </c>
      <c r="EK101" s="202">
        <v>-0.4</v>
      </c>
      <c r="EL101" s="202">
        <v>0</v>
      </c>
      <c r="EM101" s="202">
        <v>-5</v>
      </c>
      <c r="EN101" s="202">
        <v>-2.2999999999999998</v>
      </c>
      <c r="EO101" s="202">
        <v>-4.0999999999999996</v>
      </c>
      <c r="EP101" s="202">
        <v>-1.8</v>
      </c>
      <c r="EQ101" s="202">
        <v>-1.5</v>
      </c>
      <c r="ER101" s="202">
        <v>-1.7</v>
      </c>
      <c r="ES101" s="202">
        <v>-1.3</v>
      </c>
      <c r="ET101" s="202">
        <v>-2.2000000000000002</v>
      </c>
      <c r="EU101" s="202">
        <v>-2.6</v>
      </c>
      <c r="EV101" s="202">
        <v>-2.9</v>
      </c>
      <c r="EW101" s="202">
        <v>-2.2000000000000002</v>
      </c>
      <c r="EX101" s="202">
        <v>-2.1</v>
      </c>
      <c r="EY101" s="202">
        <v>0.8</v>
      </c>
      <c r="EZ101" s="202">
        <v>-1.1000000000000001</v>
      </c>
      <c r="FA101" s="202">
        <v>3.8</v>
      </c>
      <c r="FB101" s="202">
        <v>1.3</v>
      </c>
      <c r="FC101" s="202">
        <v>1.3</v>
      </c>
      <c r="FD101" s="202">
        <v>-1.8</v>
      </c>
      <c r="FE101" s="202">
        <v>-1.6</v>
      </c>
      <c r="FF101" s="202">
        <v>0.3</v>
      </c>
      <c r="FG101" s="202">
        <v>0.2</v>
      </c>
    </row>
    <row r="102" spans="1:163" ht="14.25" customHeight="1">
      <c r="A102" s="249">
        <f t="shared" si="5"/>
        <v>2.2000000000000002</v>
      </c>
      <c r="B102" s="249">
        <f t="shared" si="6"/>
        <v>6.7666666666666666</v>
      </c>
      <c r="C102" s="249">
        <f t="shared" si="7"/>
        <v>4.8583333333333334</v>
      </c>
      <c r="D102" s="187" t="s">
        <v>877</v>
      </c>
      <c r="E102" s="202">
        <v>4.7</v>
      </c>
      <c r="F102" s="202">
        <v>3.5</v>
      </c>
      <c r="G102" s="202">
        <v>3</v>
      </c>
      <c r="H102" s="202">
        <v>3.4</v>
      </c>
      <c r="I102" s="202">
        <v>2.8</v>
      </c>
      <c r="J102" s="202">
        <v>2.4</v>
      </c>
      <c r="K102" s="202">
        <v>2.2999999999999998</v>
      </c>
      <c r="L102" s="202">
        <v>1.8</v>
      </c>
      <c r="M102" s="202">
        <v>2.6</v>
      </c>
      <c r="N102" s="202">
        <v>2.9</v>
      </c>
      <c r="O102" s="202">
        <v>3.2</v>
      </c>
      <c r="P102" s="202">
        <v>3.9</v>
      </c>
      <c r="Q102" s="202">
        <v>4.9000000000000004</v>
      </c>
      <c r="R102" s="202">
        <v>4.7</v>
      </c>
      <c r="S102" s="202">
        <v>4.9000000000000004</v>
      </c>
      <c r="T102" s="202">
        <v>4.8</v>
      </c>
      <c r="U102" s="202">
        <v>5.3</v>
      </c>
      <c r="V102" s="202">
        <v>5.8</v>
      </c>
      <c r="W102" s="202">
        <v>10</v>
      </c>
      <c r="X102" s="202">
        <v>9.1</v>
      </c>
      <c r="Y102" s="202">
        <v>8.1999999999999993</v>
      </c>
      <c r="Z102" s="202">
        <v>8.1999999999999993</v>
      </c>
      <c r="AA102" s="202">
        <v>8.1999999999999993</v>
      </c>
      <c r="AB102" s="202">
        <v>7.1</v>
      </c>
      <c r="AC102" s="202">
        <v>7.2</v>
      </c>
      <c r="AD102" s="202">
        <v>7.3</v>
      </c>
      <c r="AE102" s="202">
        <v>6.4</v>
      </c>
      <c r="AF102" s="202">
        <v>6.3</v>
      </c>
      <c r="AG102" s="202">
        <v>5.4</v>
      </c>
      <c r="AH102" s="202">
        <v>5.2</v>
      </c>
      <c r="AI102" s="202">
        <v>2.2000000000000002</v>
      </c>
      <c r="AJ102" s="202">
        <v>3.3</v>
      </c>
      <c r="AK102" s="202">
        <v>3.3</v>
      </c>
      <c r="AL102" s="202">
        <v>3.3</v>
      </c>
      <c r="AM102" s="202">
        <v>3.9</v>
      </c>
      <c r="AN102" s="202">
        <v>4.5</v>
      </c>
      <c r="AO102" s="202">
        <v>4.9000000000000004</v>
      </c>
      <c r="AP102" s="202">
        <v>4.4000000000000004</v>
      </c>
      <c r="AQ102" s="202">
        <v>5.2</v>
      </c>
      <c r="AR102" s="202">
        <v>5.7</v>
      </c>
      <c r="AS102" s="202">
        <v>6.8</v>
      </c>
      <c r="AT102" s="202">
        <v>7</v>
      </c>
      <c r="AU102" s="202">
        <v>6.1</v>
      </c>
      <c r="AV102" s="202">
        <v>5.8</v>
      </c>
      <c r="AW102" s="202">
        <v>5.9</v>
      </c>
      <c r="AX102" s="202">
        <v>5.8</v>
      </c>
      <c r="AY102" s="202">
        <v>4.9000000000000004</v>
      </c>
      <c r="AZ102" s="202">
        <v>4.7</v>
      </c>
      <c r="BA102" s="202">
        <v>2.1</v>
      </c>
      <c r="BB102" s="202">
        <v>2.2000000000000002</v>
      </c>
      <c r="BC102" s="202">
        <v>2.2000000000000002</v>
      </c>
      <c r="BD102" s="202">
        <v>2.4</v>
      </c>
      <c r="BE102" s="202">
        <v>2.2000000000000002</v>
      </c>
      <c r="BF102" s="202">
        <v>2</v>
      </c>
      <c r="BG102" s="202">
        <v>2.8</v>
      </c>
      <c r="BH102" s="202">
        <v>3</v>
      </c>
      <c r="BI102" s="202">
        <v>3.1</v>
      </c>
      <c r="BJ102" s="202">
        <v>3</v>
      </c>
      <c r="BK102" s="202">
        <v>3</v>
      </c>
      <c r="BL102" s="202">
        <v>2.9</v>
      </c>
      <c r="BM102" s="202">
        <v>2.8</v>
      </c>
      <c r="BN102" s="202">
        <v>3</v>
      </c>
      <c r="BO102" s="202">
        <v>5.2</v>
      </c>
      <c r="BP102" s="202">
        <v>4.9000000000000004</v>
      </c>
      <c r="BQ102" s="202">
        <v>14.4</v>
      </c>
      <c r="BR102" s="202">
        <v>13.8</v>
      </c>
      <c r="BS102" s="202">
        <v>12.2</v>
      </c>
      <c r="BT102" s="202">
        <v>12.6</v>
      </c>
      <c r="BU102" s="202">
        <v>13.2</v>
      </c>
      <c r="BV102" s="202">
        <v>13.1</v>
      </c>
      <c r="BW102" s="202">
        <v>12.9</v>
      </c>
      <c r="BX102" s="202">
        <v>13.2</v>
      </c>
      <c r="BY102" s="202">
        <v>13.2</v>
      </c>
      <c r="BZ102" s="202">
        <v>12.5</v>
      </c>
      <c r="CA102" s="202">
        <v>10.1</v>
      </c>
      <c r="CB102" s="202">
        <v>9.8000000000000007</v>
      </c>
      <c r="CC102" s="202">
        <v>0</v>
      </c>
      <c r="CD102" s="202">
        <v>0.7</v>
      </c>
      <c r="CE102" s="202">
        <v>1.5</v>
      </c>
      <c r="CF102" s="202">
        <v>1</v>
      </c>
      <c r="CG102" s="202">
        <v>0.5</v>
      </c>
      <c r="CH102" s="202">
        <v>-1.5</v>
      </c>
      <c r="CI102" s="202">
        <v>0.2</v>
      </c>
      <c r="CJ102" s="202">
        <v>0.1</v>
      </c>
      <c r="CK102" s="202">
        <v>0.5</v>
      </c>
      <c r="CL102" s="202">
        <v>0.4</v>
      </c>
      <c r="CM102" s="202">
        <v>0.1</v>
      </c>
      <c r="CN102" s="202">
        <v>1</v>
      </c>
      <c r="CO102" s="202">
        <v>1.5</v>
      </c>
      <c r="CP102" s="202">
        <v>1.2</v>
      </c>
      <c r="CQ102" s="202">
        <v>1.2</v>
      </c>
      <c r="CR102" s="202">
        <v>1</v>
      </c>
      <c r="CS102" s="202">
        <v>0.8</v>
      </c>
      <c r="CT102" s="202">
        <v>3.2</v>
      </c>
      <c r="CU102" s="202">
        <v>0.9</v>
      </c>
      <c r="CV102" s="202">
        <v>0.4</v>
      </c>
      <c r="CW102" s="202">
        <v>-1.1000000000000001</v>
      </c>
      <c r="CX102" s="202">
        <v>-0.7</v>
      </c>
      <c r="CY102" s="202">
        <v>0.3</v>
      </c>
      <c r="CZ102" s="202">
        <v>-1.8</v>
      </c>
      <c r="DA102" s="202">
        <v>-1.2</v>
      </c>
      <c r="DB102" s="202">
        <v>-1.6</v>
      </c>
      <c r="DC102" s="202">
        <v>-2.1</v>
      </c>
      <c r="DD102" s="202">
        <v>-2.5</v>
      </c>
      <c r="DE102" s="202">
        <v>-1.9</v>
      </c>
      <c r="DF102" s="202">
        <v>-2.2000000000000002</v>
      </c>
      <c r="DG102" s="202">
        <v>-2.1</v>
      </c>
      <c r="DH102" s="202">
        <v>-2.1</v>
      </c>
      <c r="DI102" s="202">
        <v>-2.2999999999999998</v>
      </c>
      <c r="DJ102" s="202">
        <v>-2.7</v>
      </c>
      <c r="DK102" s="202">
        <v>-3.2</v>
      </c>
      <c r="DL102" s="202">
        <v>-3.7</v>
      </c>
      <c r="DM102" s="202">
        <v>-4</v>
      </c>
      <c r="DN102" s="202">
        <v>-3</v>
      </c>
      <c r="DO102" s="202">
        <v>-2.9</v>
      </c>
      <c r="DP102" s="202">
        <v>-2.7</v>
      </c>
      <c r="DQ102" s="202">
        <v>-2.8</v>
      </c>
      <c r="DR102" s="202">
        <v>-2.6</v>
      </c>
      <c r="DS102" s="202">
        <v>-2.2000000000000002</v>
      </c>
      <c r="DT102" s="202">
        <v>-1.6</v>
      </c>
      <c r="DU102" s="202">
        <v>-3.8</v>
      </c>
      <c r="DV102" s="202">
        <v>-3.5</v>
      </c>
      <c r="DW102" s="202">
        <v>-4.2</v>
      </c>
      <c r="DX102" s="202">
        <v>-2.6</v>
      </c>
      <c r="DY102" s="202">
        <v>-3.1</v>
      </c>
      <c r="DZ102" s="202">
        <v>-3.9</v>
      </c>
      <c r="EA102" s="202">
        <v>-3.8</v>
      </c>
      <c r="EB102" s="202">
        <v>-3.1</v>
      </c>
      <c r="EC102" s="202">
        <v>-0.7</v>
      </c>
      <c r="ED102" s="202">
        <v>-0.5</v>
      </c>
      <c r="EE102" s="202">
        <v>-0.3</v>
      </c>
      <c r="EF102" s="202">
        <v>-0.5</v>
      </c>
      <c r="EG102" s="202">
        <v>3.5</v>
      </c>
      <c r="EH102" s="202">
        <v>3.1</v>
      </c>
      <c r="EI102" s="202">
        <v>3.3</v>
      </c>
      <c r="EJ102" s="202">
        <v>3.9</v>
      </c>
      <c r="EK102" s="202">
        <v>4.9000000000000004</v>
      </c>
      <c r="EL102" s="202">
        <v>5.6</v>
      </c>
      <c r="EM102" s="202">
        <v>5.8</v>
      </c>
      <c r="EN102" s="202">
        <v>5.4</v>
      </c>
      <c r="EO102" s="202">
        <v>2.8</v>
      </c>
      <c r="EP102" s="202">
        <v>3</v>
      </c>
      <c r="EQ102" s="202">
        <v>2.6</v>
      </c>
      <c r="ER102" s="202">
        <v>1.5</v>
      </c>
      <c r="ES102" s="202">
        <v>1</v>
      </c>
      <c r="ET102" s="202">
        <v>2.1</v>
      </c>
      <c r="EU102" s="202">
        <v>2.6</v>
      </c>
      <c r="EV102" s="202">
        <v>3.3</v>
      </c>
      <c r="EW102" s="202">
        <v>3.2</v>
      </c>
      <c r="EX102" s="202">
        <v>2.6</v>
      </c>
      <c r="EY102" s="202">
        <v>2.2999999999999998</v>
      </c>
      <c r="EZ102" s="202">
        <v>2.2000000000000002</v>
      </c>
      <c r="FA102" s="202">
        <v>1.7</v>
      </c>
      <c r="FB102" s="202">
        <v>1.4</v>
      </c>
      <c r="FC102" s="202">
        <v>1.4</v>
      </c>
      <c r="FD102" s="202">
        <v>2.4</v>
      </c>
      <c r="FE102" s="202">
        <v>2.9</v>
      </c>
      <c r="FF102" s="202">
        <v>1.1000000000000001</v>
      </c>
      <c r="FG102" s="202">
        <v>-1.2</v>
      </c>
    </row>
    <row r="103" spans="1:163" ht="14.25" customHeight="1">
      <c r="A103" s="249">
        <f t="shared" si="5"/>
        <v>0.5</v>
      </c>
      <c r="B103" s="249">
        <f t="shared" si="6"/>
        <v>4.7666666666666666</v>
      </c>
      <c r="C103" s="249">
        <f t="shared" si="7"/>
        <v>2.8499999999999996</v>
      </c>
      <c r="D103" s="187" t="s">
        <v>905</v>
      </c>
      <c r="E103" s="202">
        <v>2.2000000000000002</v>
      </c>
      <c r="F103" s="202">
        <v>2.1</v>
      </c>
      <c r="G103" s="202">
        <v>2.2000000000000002</v>
      </c>
      <c r="H103" s="202">
        <v>2.2000000000000002</v>
      </c>
      <c r="I103" s="202">
        <v>2.2999999999999998</v>
      </c>
      <c r="J103" s="202">
        <v>1.8</v>
      </c>
      <c r="K103" s="202">
        <v>1.6</v>
      </c>
      <c r="L103" s="202">
        <v>1.9</v>
      </c>
      <c r="M103" s="202">
        <v>2</v>
      </c>
      <c r="N103" s="202">
        <v>2.4</v>
      </c>
      <c r="O103" s="202">
        <v>2.7</v>
      </c>
      <c r="P103" s="202">
        <v>3.1</v>
      </c>
      <c r="Q103" s="202">
        <v>3.4</v>
      </c>
      <c r="R103" s="202">
        <v>3.8</v>
      </c>
      <c r="S103" s="202">
        <v>4</v>
      </c>
      <c r="T103" s="202">
        <v>4.5</v>
      </c>
      <c r="U103" s="202">
        <v>4.8</v>
      </c>
      <c r="V103" s="202">
        <v>5.2</v>
      </c>
      <c r="W103" s="202">
        <v>5.7</v>
      </c>
      <c r="X103" s="202">
        <v>5.6</v>
      </c>
      <c r="Y103" s="202">
        <v>5.5</v>
      </c>
      <c r="Z103" s="202">
        <v>5.0999999999999996</v>
      </c>
      <c r="AA103" s="202">
        <v>5</v>
      </c>
      <c r="AB103" s="202">
        <v>4.5999999999999996</v>
      </c>
      <c r="AC103" s="202">
        <v>4.5999999999999996</v>
      </c>
      <c r="AD103" s="202">
        <v>4.5</v>
      </c>
      <c r="AE103" s="202">
        <v>4.2</v>
      </c>
      <c r="AF103" s="202">
        <v>4</v>
      </c>
      <c r="AG103" s="202">
        <v>3.3</v>
      </c>
      <c r="AH103" s="202">
        <v>2.9</v>
      </c>
      <c r="AI103" s="202">
        <v>2.9</v>
      </c>
      <c r="AJ103" s="202">
        <v>2.5</v>
      </c>
      <c r="AK103" s="202">
        <v>1.9</v>
      </c>
      <c r="AL103" s="202">
        <v>1.6</v>
      </c>
      <c r="AM103" s="202">
        <v>1.3</v>
      </c>
      <c r="AN103" s="202">
        <v>0.5</v>
      </c>
      <c r="AO103" s="202">
        <v>0.5</v>
      </c>
      <c r="AP103" s="202">
        <v>0.2</v>
      </c>
      <c r="AQ103" s="202">
        <v>0</v>
      </c>
      <c r="AR103" s="202">
        <v>-0.7</v>
      </c>
      <c r="AS103" s="202">
        <v>-0.5</v>
      </c>
      <c r="AT103" s="202">
        <v>-0.6</v>
      </c>
      <c r="AU103" s="202">
        <v>-0.7</v>
      </c>
      <c r="AV103" s="202">
        <v>-0.6</v>
      </c>
      <c r="AW103" s="202">
        <v>0.2</v>
      </c>
      <c r="AX103" s="202">
        <v>0.6</v>
      </c>
      <c r="AY103" s="202">
        <v>0.3</v>
      </c>
      <c r="AZ103" s="202">
        <v>0.3</v>
      </c>
      <c r="BA103" s="202">
        <v>-0.2</v>
      </c>
      <c r="BB103" s="202">
        <v>0.7</v>
      </c>
      <c r="BC103" s="202">
        <v>1.1000000000000001</v>
      </c>
      <c r="BD103" s="202">
        <v>1.8</v>
      </c>
      <c r="BE103" s="202">
        <v>2.1</v>
      </c>
      <c r="BF103" s="202">
        <v>2.5</v>
      </c>
      <c r="BG103" s="202">
        <v>2.2999999999999998</v>
      </c>
      <c r="BH103" s="202">
        <v>2.7</v>
      </c>
      <c r="BI103" s="202">
        <v>2.5</v>
      </c>
      <c r="BJ103" s="202">
        <v>2.2000000000000002</v>
      </c>
      <c r="BK103" s="202">
        <v>2.2999999999999998</v>
      </c>
      <c r="BL103" s="202">
        <v>2.8</v>
      </c>
      <c r="BM103" s="202">
        <v>2.6</v>
      </c>
      <c r="BN103" s="202">
        <v>2.1</v>
      </c>
      <c r="BO103" s="202">
        <v>2.7</v>
      </c>
      <c r="BP103" s="202">
        <v>2.5</v>
      </c>
      <c r="BQ103" s="202">
        <v>2.4</v>
      </c>
      <c r="BR103" s="202">
        <v>2</v>
      </c>
      <c r="BS103" s="202">
        <v>2</v>
      </c>
      <c r="BT103" s="202">
        <v>1.6</v>
      </c>
      <c r="BU103" s="202">
        <v>1.5</v>
      </c>
      <c r="BV103" s="202">
        <v>1.6</v>
      </c>
      <c r="BW103" s="202">
        <v>2.1</v>
      </c>
      <c r="BX103" s="202">
        <v>2.2999999999999998</v>
      </c>
      <c r="BY103" s="202">
        <v>2.6</v>
      </c>
      <c r="BZ103" s="202">
        <v>2.2000000000000002</v>
      </c>
      <c r="CA103" s="202">
        <v>1.1000000000000001</v>
      </c>
      <c r="CB103" s="202">
        <v>0.7</v>
      </c>
      <c r="CC103" s="202">
        <v>0.4</v>
      </c>
      <c r="CD103" s="202">
        <v>0.3</v>
      </c>
      <c r="CE103" s="202">
        <v>-0.1</v>
      </c>
      <c r="CF103" s="202">
        <v>0</v>
      </c>
      <c r="CG103" s="202">
        <v>0</v>
      </c>
      <c r="CH103" s="202">
        <v>0.2</v>
      </c>
      <c r="CI103" s="202">
        <v>-0.2</v>
      </c>
      <c r="CJ103" s="202">
        <v>-0.7</v>
      </c>
      <c r="CK103" s="202">
        <v>-0.6</v>
      </c>
      <c r="CL103" s="202">
        <v>-0.9</v>
      </c>
      <c r="CM103" s="202">
        <v>-0.8</v>
      </c>
      <c r="CN103" s="202">
        <v>-0.8</v>
      </c>
      <c r="CO103" s="202">
        <v>-0.9</v>
      </c>
      <c r="CP103" s="202">
        <v>-0.9</v>
      </c>
      <c r="CQ103" s="202">
        <v>-0.7</v>
      </c>
      <c r="CR103" s="202">
        <v>-0.8</v>
      </c>
      <c r="CS103" s="202">
        <v>-1</v>
      </c>
      <c r="CT103" s="202">
        <v>-1</v>
      </c>
      <c r="CU103" s="202">
        <v>-0.6</v>
      </c>
      <c r="CV103" s="202">
        <v>-0.9</v>
      </c>
      <c r="CW103" s="202">
        <v>-0.6</v>
      </c>
      <c r="CX103" s="202">
        <v>-0.1</v>
      </c>
      <c r="CY103" s="202">
        <v>-0.6</v>
      </c>
      <c r="CZ103" s="202">
        <v>-0.4</v>
      </c>
      <c r="DA103" s="202">
        <v>-0.3</v>
      </c>
      <c r="DB103" s="202">
        <v>-0.3</v>
      </c>
      <c r="DC103" s="202">
        <v>-0.3</v>
      </c>
      <c r="DD103" s="202">
        <v>-0.2</v>
      </c>
      <c r="DE103" s="202">
        <v>0</v>
      </c>
      <c r="DF103" s="202">
        <v>0.1</v>
      </c>
      <c r="DG103" s="202">
        <v>-0.3</v>
      </c>
      <c r="DH103" s="202">
        <v>-0.3</v>
      </c>
      <c r="DI103" s="202">
        <v>-0.4</v>
      </c>
      <c r="DJ103" s="202">
        <v>-0.6</v>
      </c>
      <c r="DK103" s="202">
        <v>-0.1</v>
      </c>
      <c r="DL103" s="202">
        <v>0.2</v>
      </c>
      <c r="DM103" s="202">
        <v>0.2</v>
      </c>
      <c r="DN103" s="202">
        <v>0.2</v>
      </c>
      <c r="DO103" s="202">
        <v>0.3</v>
      </c>
      <c r="DP103" s="202">
        <v>0.6</v>
      </c>
      <c r="DQ103" s="202">
        <v>0.3</v>
      </c>
      <c r="DR103" s="202">
        <v>-0.2</v>
      </c>
      <c r="DS103" s="202">
        <v>0</v>
      </c>
      <c r="DT103" s="202">
        <v>0.6</v>
      </c>
      <c r="DU103" s="202">
        <v>0.1</v>
      </c>
      <c r="DV103" s="202">
        <v>0.3</v>
      </c>
      <c r="DW103" s="202">
        <v>0.3</v>
      </c>
      <c r="DX103" s="202">
        <v>0</v>
      </c>
      <c r="DY103" s="202">
        <v>0.3</v>
      </c>
      <c r="DZ103" s="202">
        <v>0.4</v>
      </c>
      <c r="EA103" s="202">
        <v>0.2</v>
      </c>
      <c r="EB103" s="202">
        <v>-0.3</v>
      </c>
      <c r="EC103" s="202">
        <v>-0.3</v>
      </c>
      <c r="ED103" s="202">
        <v>0.1</v>
      </c>
      <c r="EE103" s="202">
        <v>-0.1</v>
      </c>
      <c r="EF103" s="202">
        <v>-0.2</v>
      </c>
      <c r="EG103" s="202">
        <v>0.3</v>
      </c>
      <c r="EH103" s="202">
        <v>0.2</v>
      </c>
      <c r="EI103" s="202">
        <v>0.3</v>
      </c>
      <c r="EJ103" s="202">
        <v>0.4</v>
      </c>
      <c r="EK103" s="202">
        <v>0.2</v>
      </c>
      <c r="EL103" s="202">
        <v>0.3</v>
      </c>
      <c r="EM103" s="202">
        <v>0.3</v>
      </c>
      <c r="EN103" s="202">
        <v>0.8</v>
      </c>
      <c r="EO103" s="202">
        <v>1.1000000000000001</v>
      </c>
      <c r="EP103" s="202">
        <v>1</v>
      </c>
      <c r="EQ103" s="202">
        <v>0.9</v>
      </c>
      <c r="ER103" s="202">
        <v>0.8</v>
      </c>
      <c r="ES103" s="202">
        <v>0.7</v>
      </c>
      <c r="ET103" s="202">
        <v>1.2</v>
      </c>
      <c r="EU103" s="202">
        <v>1</v>
      </c>
      <c r="EV103" s="202">
        <v>1.4</v>
      </c>
      <c r="EW103" s="202">
        <v>1.3</v>
      </c>
      <c r="EX103" s="202">
        <v>0.6</v>
      </c>
      <c r="EY103" s="202">
        <v>1.4</v>
      </c>
      <c r="EZ103" s="202">
        <v>0.7</v>
      </c>
      <c r="FA103" s="202">
        <v>0.9</v>
      </c>
      <c r="FB103" s="202">
        <v>1</v>
      </c>
      <c r="FC103" s="202">
        <v>0.7</v>
      </c>
      <c r="FD103" s="202">
        <v>1.2</v>
      </c>
      <c r="FE103" s="202">
        <v>0.8</v>
      </c>
      <c r="FF103" s="202">
        <v>0.6</v>
      </c>
      <c r="FG103" s="202">
        <v>0.9</v>
      </c>
    </row>
    <row r="104" spans="1:163" ht="14.25" customHeight="1">
      <c r="A104" s="249">
        <f t="shared" si="5"/>
        <v>3.7</v>
      </c>
      <c r="B104" s="249">
        <f t="shared" si="6"/>
        <v>5.8166666666666664</v>
      </c>
      <c r="C104" s="249">
        <f t="shared" si="7"/>
        <v>15.383333333333331</v>
      </c>
      <c r="D104" s="187" t="s">
        <v>907</v>
      </c>
      <c r="E104" s="202">
        <v>1.7</v>
      </c>
      <c r="F104" s="202">
        <v>1.8</v>
      </c>
      <c r="G104" s="202">
        <v>1.6</v>
      </c>
      <c r="H104" s="202">
        <v>2</v>
      </c>
      <c r="I104" s="202">
        <v>2.1</v>
      </c>
      <c r="J104" s="202">
        <v>2.2999999999999998</v>
      </c>
      <c r="K104" s="202">
        <v>2.4</v>
      </c>
      <c r="L104" s="202">
        <v>1.5</v>
      </c>
      <c r="M104" s="202">
        <v>1.4</v>
      </c>
      <c r="N104" s="202">
        <v>1.5</v>
      </c>
      <c r="O104" s="202">
        <v>1.5</v>
      </c>
      <c r="P104" s="202">
        <v>1.4</v>
      </c>
      <c r="Q104" s="202">
        <v>4</v>
      </c>
      <c r="R104" s="202">
        <v>3.7</v>
      </c>
      <c r="S104" s="202">
        <v>3.9</v>
      </c>
      <c r="T104" s="202">
        <v>5.5</v>
      </c>
      <c r="U104" s="202">
        <v>5.6</v>
      </c>
      <c r="V104" s="202">
        <v>5.4</v>
      </c>
      <c r="W104" s="202">
        <v>5.4</v>
      </c>
      <c r="X104" s="202">
        <v>6.5</v>
      </c>
      <c r="Y104" s="202">
        <v>7.4</v>
      </c>
      <c r="Z104" s="202">
        <v>7.5</v>
      </c>
      <c r="AA104" s="202">
        <v>7.4</v>
      </c>
      <c r="AB104" s="202">
        <v>7.5</v>
      </c>
      <c r="AC104" s="202">
        <v>15.9</v>
      </c>
      <c r="AD104" s="202">
        <v>16.7</v>
      </c>
      <c r="AE104" s="202">
        <v>16.7</v>
      </c>
      <c r="AF104" s="202">
        <v>15.3</v>
      </c>
      <c r="AG104" s="202">
        <v>15.5</v>
      </c>
      <c r="AH104" s="202">
        <v>15.5</v>
      </c>
      <c r="AI104" s="202">
        <v>15.4</v>
      </c>
      <c r="AJ104" s="202">
        <v>15.1</v>
      </c>
      <c r="AK104" s="202">
        <v>14.6</v>
      </c>
      <c r="AL104" s="202">
        <v>14.6</v>
      </c>
      <c r="AM104" s="202">
        <v>14.6</v>
      </c>
      <c r="AN104" s="202">
        <v>14.7</v>
      </c>
      <c r="AO104" s="202">
        <v>4.0999999999999996</v>
      </c>
      <c r="AP104" s="202">
        <v>3.9</v>
      </c>
      <c r="AQ104" s="202">
        <v>3.5</v>
      </c>
      <c r="AR104" s="202">
        <v>3</v>
      </c>
      <c r="AS104" s="202">
        <v>2.7</v>
      </c>
      <c r="AT104" s="202">
        <v>2.7</v>
      </c>
      <c r="AU104" s="202">
        <v>2.7</v>
      </c>
      <c r="AV104" s="202">
        <v>1.9</v>
      </c>
      <c r="AW104" s="202">
        <v>1.9</v>
      </c>
      <c r="AX104" s="202">
        <v>1.8</v>
      </c>
      <c r="AY104" s="202">
        <v>1.8</v>
      </c>
      <c r="AZ104" s="202">
        <v>1.7</v>
      </c>
      <c r="BA104" s="202">
        <v>1.2</v>
      </c>
      <c r="BB104" s="202">
        <v>0.9</v>
      </c>
      <c r="BC104" s="202">
        <v>1.1000000000000001</v>
      </c>
      <c r="BD104" s="202">
        <v>1.4</v>
      </c>
      <c r="BE104" s="202">
        <v>1.2</v>
      </c>
      <c r="BF104" s="202">
        <v>1.1000000000000001</v>
      </c>
      <c r="BG104" s="202">
        <v>1.1000000000000001</v>
      </c>
      <c r="BH104" s="202">
        <v>1.2</v>
      </c>
      <c r="BI104" s="202">
        <v>0.9</v>
      </c>
      <c r="BJ104" s="202">
        <v>0.9</v>
      </c>
      <c r="BK104" s="202">
        <v>1.1000000000000001</v>
      </c>
      <c r="BL104" s="202">
        <v>1.4</v>
      </c>
      <c r="BM104" s="202">
        <v>1.3</v>
      </c>
      <c r="BN104" s="202">
        <v>1.2</v>
      </c>
      <c r="BO104" s="202">
        <v>1.8</v>
      </c>
      <c r="BP104" s="202">
        <v>1.6</v>
      </c>
      <c r="BQ104" s="202">
        <v>2.2000000000000002</v>
      </c>
      <c r="BR104" s="202">
        <v>2.4</v>
      </c>
      <c r="BS104" s="202">
        <v>2.5</v>
      </c>
      <c r="BT104" s="202">
        <v>2.5</v>
      </c>
      <c r="BU104" s="202">
        <v>2.8</v>
      </c>
      <c r="BV104" s="202">
        <v>2.7</v>
      </c>
      <c r="BW104" s="202">
        <v>2.4</v>
      </c>
      <c r="BX104" s="202">
        <v>2</v>
      </c>
      <c r="BY104" s="202">
        <v>2.8</v>
      </c>
      <c r="BZ104" s="202">
        <v>2.8</v>
      </c>
      <c r="CA104" s="202">
        <v>2.1</v>
      </c>
      <c r="CB104" s="202">
        <v>1.9</v>
      </c>
      <c r="CC104" s="202">
        <v>-0.2</v>
      </c>
      <c r="CD104" s="202">
        <v>-0.7</v>
      </c>
      <c r="CE104" s="202">
        <v>-0.7</v>
      </c>
      <c r="CF104" s="202">
        <v>-0.7</v>
      </c>
      <c r="CG104" s="202">
        <v>-0.8</v>
      </c>
      <c r="CH104" s="202">
        <v>-0.7</v>
      </c>
      <c r="CI104" s="202">
        <v>-0.7</v>
      </c>
      <c r="CJ104" s="202">
        <v>-0.6</v>
      </c>
      <c r="CK104" s="202">
        <v>-0.9</v>
      </c>
      <c r="CL104" s="202">
        <v>-1.1000000000000001</v>
      </c>
      <c r="CM104" s="202">
        <v>-1.2</v>
      </c>
      <c r="CN104" s="202">
        <v>2.4</v>
      </c>
      <c r="CO104" s="202">
        <v>4.2</v>
      </c>
      <c r="CP104" s="202">
        <v>4.5999999999999996</v>
      </c>
      <c r="CQ104" s="202">
        <v>4.5</v>
      </c>
      <c r="CR104" s="202">
        <v>4.4000000000000004</v>
      </c>
      <c r="CS104" s="202">
        <v>4.0999999999999996</v>
      </c>
      <c r="CT104" s="202">
        <v>4.0999999999999996</v>
      </c>
      <c r="CU104" s="202">
        <v>4.0999999999999996</v>
      </c>
      <c r="CV104" s="202">
        <v>4</v>
      </c>
      <c r="CW104" s="202">
        <v>3.6</v>
      </c>
      <c r="CX104" s="202">
        <v>3.8</v>
      </c>
      <c r="CY104" s="202">
        <v>4</v>
      </c>
      <c r="CZ104" s="202">
        <v>0.7</v>
      </c>
      <c r="DA104" s="202">
        <v>0.7</v>
      </c>
      <c r="DB104" s="202">
        <v>0.8</v>
      </c>
      <c r="DC104" s="202">
        <v>1</v>
      </c>
      <c r="DD104" s="202">
        <v>6.8</v>
      </c>
      <c r="DE104" s="202">
        <v>6.8</v>
      </c>
      <c r="DF104" s="202">
        <v>6.8</v>
      </c>
      <c r="DG104" s="202">
        <v>6.6</v>
      </c>
      <c r="DH104" s="202">
        <v>6.5</v>
      </c>
      <c r="DI104" s="202">
        <v>6.5</v>
      </c>
      <c r="DJ104" s="202">
        <v>6.6</v>
      </c>
      <c r="DK104" s="202">
        <v>6.5</v>
      </c>
      <c r="DL104" s="202">
        <v>6.3</v>
      </c>
      <c r="DM104" s="202">
        <v>6.1</v>
      </c>
      <c r="DN104" s="202">
        <v>6.7</v>
      </c>
      <c r="DO104" s="202">
        <v>7.9</v>
      </c>
      <c r="DP104" s="202">
        <v>2</v>
      </c>
      <c r="DQ104" s="202">
        <v>2</v>
      </c>
      <c r="DR104" s="202">
        <v>2</v>
      </c>
      <c r="DS104" s="202">
        <v>2.2000000000000002</v>
      </c>
      <c r="DT104" s="202">
        <v>2.4</v>
      </c>
      <c r="DU104" s="202">
        <v>2.4</v>
      </c>
      <c r="DV104" s="202">
        <v>2.1</v>
      </c>
      <c r="DW104" s="202">
        <v>2.1</v>
      </c>
      <c r="DX104" s="202">
        <v>2.1</v>
      </c>
      <c r="DY104" s="202">
        <v>2.1</v>
      </c>
      <c r="DZ104" s="202">
        <v>1.4</v>
      </c>
      <c r="EA104" s="202">
        <v>0.2</v>
      </c>
      <c r="EB104" s="202">
        <v>-0.1</v>
      </c>
      <c r="EC104" s="202">
        <v>0.1</v>
      </c>
      <c r="ED104" s="202">
        <v>0.2</v>
      </c>
      <c r="EE104" s="202">
        <v>0.2</v>
      </c>
      <c r="EF104" s="202">
        <v>0.2</v>
      </c>
      <c r="EG104" s="202">
        <v>0.2</v>
      </c>
      <c r="EH104" s="202">
        <v>0.3</v>
      </c>
      <c r="EI104" s="202">
        <v>1.4</v>
      </c>
      <c r="EJ104" s="202">
        <v>1.4</v>
      </c>
      <c r="EK104" s="202">
        <v>1.5</v>
      </c>
      <c r="EL104" s="202">
        <v>1.5</v>
      </c>
      <c r="EM104" s="202">
        <v>1.5</v>
      </c>
      <c r="EN104" s="202">
        <v>1.8</v>
      </c>
      <c r="EO104" s="202">
        <v>1.7</v>
      </c>
      <c r="EP104" s="202">
        <v>1.7</v>
      </c>
      <c r="EQ104" s="202">
        <v>1.7</v>
      </c>
      <c r="ER104" s="202">
        <v>1.8</v>
      </c>
      <c r="ES104" s="202">
        <v>-0.1</v>
      </c>
      <c r="ET104" s="202">
        <v>0</v>
      </c>
      <c r="EU104" s="202">
        <v>-1.1000000000000001</v>
      </c>
      <c r="EV104" s="202">
        <v>-1.3</v>
      </c>
      <c r="EW104" s="202">
        <v>-1.2</v>
      </c>
      <c r="EX104" s="202">
        <v>-1.2</v>
      </c>
      <c r="EY104" s="202">
        <v>-1.1000000000000001</v>
      </c>
      <c r="EZ104" s="202">
        <v>-1.1000000000000001</v>
      </c>
      <c r="FA104" s="202">
        <v>-1.1000000000000001</v>
      </c>
      <c r="FB104" s="202">
        <v>-0.9</v>
      </c>
      <c r="FC104" s="202">
        <v>-1</v>
      </c>
      <c r="FD104" s="202">
        <v>-1</v>
      </c>
      <c r="FE104" s="202">
        <v>0.8</v>
      </c>
      <c r="FF104" s="202">
        <v>1.2</v>
      </c>
      <c r="FG104" s="202">
        <v>1.2</v>
      </c>
    </row>
    <row r="105" spans="1:163" ht="14.25" customHeight="1">
      <c r="A105" s="249">
        <f t="shared" si="5"/>
        <v>-10.7</v>
      </c>
      <c r="B105" s="249">
        <f t="shared" si="6"/>
        <v>4.9249999999999998</v>
      </c>
      <c r="C105" s="249">
        <f t="shared" si="7"/>
        <v>-6.1916666666666691</v>
      </c>
      <c r="D105" s="187" t="s">
        <v>446</v>
      </c>
      <c r="E105" s="202">
        <v>0.4</v>
      </c>
      <c r="F105" s="202">
        <v>0.7</v>
      </c>
      <c r="G105" s="202">
        <v>1.7</v>
      </c>
      <c r="H105" s="202">
        <v>1.6</v>
      </c>
      <c r="I105" s="202">
        <v>2.5</v>
      </c>
      <c r="J105" s="202">
        <v>2.7</v>
      </c>
      <c r="K105" s="202">
        <v>1.7</v>
      </c>
      <c r="L105" s="202">
        <v>1.5</v>
      </c>
      <c r="M105" s="202">
        <v>2.8</v>
      </c>
      <c r="N105" s="202">
        <v>3.2</v>
      </c>
      <c r="O105" s="202">
        <v>5.3</v>
      </c>
      <c r="P105" s="202">
        <v>4.8</v>
      </c>
      <c r="Q105" s="202">
        <v>5.9</v>
      </c>
      <c r="R105" s="202">
        <v>5.7</v>
      </c>
      <c r="S105" s="202">
        <v>5.9</v>
      </c>
      <c r="T105" s="202">
        <v>5.2</v>
      </c>
      <c r="U105" s="202">
        <v>7.1</v>
      </c>
      <c r="V105" s="202">
        <v>10</v>
      </c>
      <c r="W105" s="202">
        <v>10.7</v>
      </c>
      <c r="X105" s="202">
        <v>6.8</v>
      </c>
      <c r="Y105" s="202">
        <v>6</v>
      </c>
      <c r="Z105" s="202">
        <v>3.5</v>
      </c>
      <c r="AA105" s="202">
        <v>-2.2999999999999998</v>
      </c>
      <c r="AB105" s="202">
        <v>-5.4</v>
      </c>
      <c r="AC105" s="202">
        <v>-6.8</v>
      </c>
      <c r="AD105" s="202">
        <v>-6.4</v>
      </c>
      <c r="AE105" s="202">
        <v>-8.6999999999999993</v>
      </c>
      <c r="AF105" s="202">
        <v>-7.8</v>
      </c>
      <c r="AG105" s="202">
        <v>-9.5</v>
      </c>
      <c r="AH105" s="202">
        <v>-10.3</v>
      </c>
      <c r="AI105" s="202">
        <v>-10.7</v>
      </c>
      <c r="AJ105" s="202">
        <v>-5.9</v>
      </c>
      <c r="AK105" s="202">
        <v>-6.9</v>
      </c>
      <c r="AL105" s="202">
        <v>-4.7</v>
      </c>
      <c r="AM105" s="202">
        <v>0.3</v>
      </c>
      <c r="AN105" s="202">
        <v>3.1</v>
      </c>
      <c r="AO105" s="202">
        <v>5.2</v>
      </c>
      <c r="AP105" s="202">
        <v>4.2</v>
      </c>
      <c r="AQ105" s="202">
        <v>6.9</v>
      </c>
      <c r="AR105" s="202">
        <v>6.8</v>
      </c>
      <c r="AS105" s="202">
        <v>6</v>
      </c>
      <c r="AT105" s="202">
        <v>4.5</v>
      </c>
      <c r="AU105" s="202">
        <v>3.8</v>
      </c>
      <c r="AV105" s="202">
        <v>1.5</v>
      </c>
      <c r="AW105" s="202">
        <v>3.7</v>
      </c>
      <c r="AX105" s="202">
        <v>5.3</v>
      </c>
      <c r="AY105" s="202">
        <v>4.4000000000000004</v>
      </c>
      <c r="AZ105" s="202">
        <v>6.7</v>
      </c>
      <c r="BA105" s="202">
        <v>5.5</v>
      </c>
      <c r="BB105" s="202">
        <v>6.3</v>
      </c>
      <c r="BC105" s="202">
        <v>6.7</v>
      </c>
      <c r="BD105" s="202">
        <v>7</v>
      </c>
      <c r="BE105" s="202">
        <v>6.4</v>
      </c>
      <c r="BF105" s="202">
        <v>6</v>
      </c>
      <c r="BG105" s="202">
        <v>5.9</v>
      </c>
      <c r="BH105" s="202">
        <v>7.6</v>
      </c>
      <c r="BI105" s="202">
        <v>7.4</v>
      </c>
      <c r="BJ105" s="202">
        <v>5.4</v>
      </c>
      <c r="BK105" s="202">
        <v>4.5</v>
      </c>
      <c r="BL105" s="202">
        <v>2</v>
      </c>
      <c r="BM105" s="202">
        <v>2.2999999999999998</v>
      </c>
      <c r="BN105" s="202">
        <v>4.0999999999999996</v>
      </c>
      <c r="BO105" s="202">
        <v>4.9000000000000004</v>
      </c>
      <c r="BP105" s="202">
        <v>5.6</v>
      </c>
      <c r="BQ105" s="202">
        <v>5.0999999999999996</v>
      </c>
      <c r="BR105" s="202">
        <v>3.4</v>
      </c>
      <c r="BS105" s="202">
        <v>2</v>
      </c>
      <c r="BT105" s="202">
        <v>2.9</v>
      </c>
      <c r="BU105" s="202">
        <v>5.2</v>
      </c>
      <c r="BV105" s="202">
        <v>4.9000000000000004</v>
      </c>
      <c r="BW105" s="202">
        <v>3.8</v>
      </c>
      <c r="BX105" s="202">
        <v>3.6</v>
      </c>
      <c r="BY105" s="202">
        <v>2.7</v>
      </c>
      <c r="BZ105" s="202">
        <v>1.9</v>
      </c>
      <c r="CA105" s="202">
        <v>0.1</v>
      </c>
      <c r="CB105" s="202">
        <v>-3</v>
      </c>
      <c r="CC105" s="202">
        <v>-3.9</v>
      </c>
      <c r="CD105" s="202">
        <v>-1.4</v>
      </c>
      <c r="CE105" s="202">
        <v>0.2</v>
      </c>
      <c r="CF105" s="202">
        <v>0.2</v>
      </c>
      <c r="CG105" s="202">
        <v>-2</v>
      </c>
      <c r="CH105" s="202">
        <v>-2.2999999999999998</v>
      </c>
      <c r="CI105" s="202">
        <v>-1.6</v>
      </c>
      <c r="CJ105" s="202">
        <v>-0.1</v>
      </c>
      <c r="CK105" s="202">
        <v>-0.2</v>
      </c>
      <c r="CL105" s="202">
        <v>-1.7</v>
      </c>
      <c r="CM105" s="202">
        <v>-1.7</v>
      </c>
      <c r="CN105" s="202">
        <v>-0.5</v>
      </c>
      <c r="CO105" s="202">
        <v>2.9</v>
      </c>
      <c r="CP105" s="202">
        <v>2.9</v>
      </c>
      <c r="CQ105" s="202">
        <v>4.4000000000000004</v>
      </c>
      <c r="CR105" s="202">
        <v>1.6</v>
      </c>
      <c r="CS105" s="202">
        <v>0.2</v>
      </c>
      <c r="CT105" s="202">
        <v>0.7</v>
      </c>
      <c r="CU105" s="202">
        <v>-0.4</v>
      </c>
      <c r="CV105" s="202">
        <v>-2.9</v>
      </c>
      <c r="CW105" s="202">
        <v>-6.9</v>
      </c>
      <c r="CX105" s="202">
        <v>-6.9</v>
      </c>
      <c r="CY105" s="202">
        <v>-4.5999999999999996</v>
      </c>
      <c r="CZ105" s="202">
        <v>-4.7</v>
      </c>
      <c r="DA105" s="202">
        <v>-4.4000000000000004</v>
      </c>
      <c r="DB105" s="202">
        <v>-4.5</v>
      </c>
      <c r="DC105" s="202">
        <v>-5.5</v>
      </c>
      <c r="DD105" s="202">
        <v>-6.7</v>
      </c>
      <c r="DE105" s="202">
        <v>-7.4</v>
      </c>
      <c r="DF105" s="202">
        <v>-8</v>
      </c>
      <c r="DG105" s="202">
        <v>-6.8</v>
      </c>
      <c r="DH105" s="202">
        <v>-5.4</v>
      </c>
      <c r="DI105" s="202">
        <v>-3</v>
      </c>
      <c r="DJ105" s="202">
        <v>-3.9</v>
      </c>
      <c r="DK105" s="202">
        <v>-6.2</v>
      </c>
      <c r="DL105" s="202">
        <v>-5.2</v>
      </c>
      <c r="DM105" s="202">
        <v>-6.1</v>
      </c>
      <c r="DN105" s="202">
        <v>-5</v>
      </c>
      <c r="DO105" s="202">
        <v>-5.8</v>
      </c>
      <c r="DP105" s="202">
        <v>-4.9000000000000004</v>
      </c>
      <c r="DQ105" s="202">
        <v>-2.2999999999999998</v>
      </c>
      <c r="DR105" s="202">
        <v>-1.1000000000000001</v>
      </c>
      <c r="DS105" s="202">
        <v>-0.3</v>
      </c>
      <c r="DT105" s="202">
        <v>1.2</v>
      </c>
      <c r="DU105" s="202">
        <v>4.5</v>
      </c>
      <c r="DV105" s="202">
        <v>5.4</v>
      </c>
      <c r="DW105" s="202">
        <v>4.3</v>
      </c>
      <c r="DX105" s="202">
        <v>3.1</v>
      </c>
      <c r="DY105" s="202">
        <v>1.8</v>
      </c>
      <c r="DZ105" s="202">
        <v>0.8</v>
      </c>
      <c r="EA105" s="202">
        <v>0.5</v>
      </c>
      <c r="EB105" s="202">
        <v>2.4</v>
      </c>
      <c r="EC105" s="202">
        <v>1.9</v>
      </c>
      <c r="ED105" s="202">
        <v>1.8</v>
      </c>
      <c r="EE105" s="202">
        <v>2.4</v>
      </c>
      <c r="EF105" s="202">
        <v>1.9</v>
      </c>
      <c r="EG105" s="202">
        <v>0.6</v>
      </c>
      <c r="EH105" s="202">
        <v>0.3</v>
      </c>
      <c r="EI105" s="202">
        <v>-0.1</v>
      </c>
      <c r="EJ105" s="202">
        <v>1.3</v>
      </c>
      <c r="EK105" s="202">
        <v>3.7</v>
      </c>
      <c r="EL105" s="202">
        <v>5.2</v>
      </c>
      <c r="EM105" s="202">
        <v>5.6</v>
      </c>
      <c r="EN105" s="202">
        <v>4.9000000000000004</v>
      </c>
      <c r="EO105" s="202">
        <v>5.4</v>
      </c>
      <c r="EP105" s="202">
        <v>5.2</v>
      </c>
      <c r="EQ105" s="202">
        <v>2.4</v>
      </c>
      <c r="ER105" s="202">
        <v>0</v>
      </c>
      <c r="ES105" s="202">
        <v>-1.1000000000000001</v>
      </c>
      <c r="ET105" s="202">
        <v>-0.3</v>
      </c>
      <c r="EU105" s="202">
        <v>2.2000000000000002</v>
      </c>
      <c r="EV105" s="202">
        <v>2.5</v>
      </c>
      <c r="EW105" s="202">
        <v>1.3</v>
      </c>
      <c r="EX105" s="202">
        <v>-1.6</v>
      </c>
      <c r="EY105" s="202">
        <v>-1.5</v>
      </c>
      <c r="EZ105" s="202">
        <v>-1.9</v>
      </c>
      <c r="FA105" s="202">
        <v>-3.3</v>
      </c>
      <c r="FB105" s="202">
        <v>-2.4</v>
      </c>
      <c r="FC105" s="202">
        <v>-0.8</v>
      </c>
      <c r="FD105" s="202">
        <v>1.7</v>
      </c>
      <c r="FE105" s="202">
        <v>3.6</v>
      </c>
      <c r="FF105" s="202">
        <v>0.8</v>
      </c>
      <c r="FG105" s="202">
        <v>-3.3</v>
      </c>
    </row>
    <row r="106" spans="1:163" ht="14.25" customHeight="1">
      <c r="A106" s="249">
        <f t="shared" si="5"/>
        <v>-1.7</v>
      </c>
      <c r="B106" s="249">
        <f t="shared" si="6"/>
        <v>-1.3833333333333335</v>
      </c>
      <c r="C106" s="249">
        <f t="shared" si="7"/>
        <v>-0.26666666666666666</v>
      </c>
      <c r="D106" s="187" t="s">
        <v>908</v>
      </c>
      <c r="E106" s="202">
        <v>-0.2</v>
      </c>
      <c r="F106" s="202">
        <v>-0.2</v>
      </c>
      <c r="G106" s="202">
        <v>-0.3</v>
      </c>
      <c r="H106" s="202">
        <v>-0.2</v>
      </c>
      <c r="I106" s="202">
        <v>-0.2</v>
      </c>
      <c r="J106" s="202">
        <v>-0.2</v>
      </c>
      <c r="K106" s="202">
        <v>-0.1</v>
      </c>
      <c r="L106" s="202">
        <v>-0.1</v>
      </c>
      <c r="M106" s="202">
        <v>-0.2</v>
      </c>
      <c r="N106" s="202">
        <v>-0.1</v>
      </c>
      <c r="O106" s="202">
        <v>-0.1</v>
      </c>
      <c r="P106" s="202">
        <v>-0.2</v>
      </c>
      <c r="Q106" s="202">
        <v>-1.2</v>
      </c>
      <c r="R106" s="202">
        <v>-1.3</v>
      </c>
      <c r="S106" s="202">
        <v>-1.2</v>
      </c>
      <c r="T106" s="202">
        <v>-1.3</v>
      </c>
      <c r="U106" s="202">
        <v>-1.3</v>
      </c>
      <c r="V106" s="202">
        <v>-1.3</v>
      </c>
      <c r="W106" s="202">
        <v>-1.3</v>
      </c>
      <c r="X106" s="202">
        <v>-1.4</v>
      </c>
      <c r="Y106" s="202">
        <v>-1.4</v>
      </c>
      <c r="Z106" s="202">
        <v>-1.6</v>
      </c>
      <c r="AA106" s="202">
        <v>-1.6</v>
      </c>
      <c r="AB106" s="202">
        <v>-1.7</v>
      </c>
      <c r="AC106" s="202">
        <v>-0.6</v>
      </c>
      <c r="AD106" s="202">
        <v>-0.5</v>
      </c>
      <c r="AE106" s="202">
        <v>-0.5</v>
      </c>
      <c r="AF106" s="202">
        <v>-0.5</v>
      </c>
      <c r="AG106" s="202">
        <v>-0.5</v>
      </c>
      <c r="AH106" s="202">
        <v>-0.5</v>
      </c>
      <c r="AI106" s="202">
        <v>-0.5</v>
      </c>
      <c r="AJ106" s="202">
        <v>-0.2</v>
      </c>
      <c r="AK106" s="202">
        <v>0</v>
      </c>
      <c r="AL106" s="202">
        <v>0.2</v>
      </c>
      <c r="AM106" s="202">
        <v>0.2</v>
      </c>
      <c r="AN106" s="202">
        <v>0.2</v>
      </c>
      <c r="AO106" s="202">
        <v>0.1</v>
      </c>
      <c r="AP106" s="202">
        <v>-0.1</v>
      </c>
      <c r="AQ106" s="202">
        <v>0</v>
      </c>
      <c r="AR106" s="202">
        <v>-0.7</v>
      </c>
      <c r="AS106" s="202">
        <v>-0.7</v>
      </c>
      <c r="AT106" s="202">
        <v>-0.7</v>
      </c>
      <c r="AU106" s="202">
        <v>-0.7</v>
      </c>
      <c r="AV106" s="202">
        <v>-1</v>
      </c>
      <c r="AW106" s="202">
        <v>-1.1000000000000001</v>
      </c>
      <c r="AX106" s="202">
        <v>-1.1000000000000001</v>
      </c>
      <c r="AY106" s="202">
        <v>-1.1000000000000001</v>
      </c>
      <c r="AZ106" s="202">
        <v>-1.1000000000000001</v>
      </c>
      <c r="BA106" s="202">
        <v>-1.1000000000000001</v>
      </c>
      <c r="BB106" s="202">
        <v>-0.7</v>
      </c>
      <c r="BC106" s="202">
        <v>-0.8</v>
      </c>
      <c r="BD106" s="202">
        <v>-0.1</v>
      </c>
      <c r="BE106" s="202">
        <v>-2.6</v>
      </c>
      <c r="BF106" s="202">
        <v>-2.6</v>
      </c>
      <c r="BG106" s="202">
        <v>-2.7</v>
      </c>
      <c r="BH106" s="202">
        <v>-5.5</v>
      </c>
      <c r="BI106" s="202">
        <v>-7.4</v>
      </c>
      <c r="BJ106" s="202">
        <v>-7.3</v>
      </c>
      <c r="BK106" s="202">
        <v>-7.4</v>
      </c>
      <c r="BL106" s="202">
        <v>-9.4</v>
      </c>
      <c r="BM106" s="202">
        <v>-9.4</v>
      </c>
      <c r="BN106" s="202">
        <v>-9.6</v>
      </c>
      <c r="BO106" s="202">
        <v>-8.6</v>
      </c>
      <c r="BP106" s="202">
        <v>-8.6</v>
      </c>
      <c r="BQ106" s="202">
        <v>-5.8</v>
      </c>
      <c r="BR106" s="202">
        <v>-5.4</v>
      </c>
      <c r="BS106" s="202">
        <v>-5.2</v>
      </c>
      <c r="BT106" s="202">
        <v>-2.5</v>
      </c>
      <c r="BU106" s="202">
        <v>-1.4</v>
      </c>
      <c r="BV106" s="202">
        <v>-1.4</v>
      </c>
      <c r="BW106" s="202">
        <v>-1.5</v>
      </c>
      <c r="BX106" s="202">
        <v>-0.8</v>
      </c>
      <c r="BY106" s="202">
        <v>0.7</v>
      </c>
      <c r="BZ106" s="202">
        <v>0.5</v>
      </c>
      <c r="CA106" s="202">
        <v>-0.6</v>
      </c>
      <c r="CB106" s="202">
        <v>-0.7</v>
      </c>
      <c r="CC106" s="202">
        <v>-3</v>
      </c>
      <c r="CD106" s="202">
        <v>-3.4</v>
      </c>
      <c r="CE106" s="202">
        <v>-3.5</v>
      </c>
      <c r="CF106" s="202">
        <v>-3.6</v>
      </c>
      <c r="CG106" s="202">
        <v>-2.7</v>
      </c>
      <c r="CH106" s="202">
        <v>-2.8</v>
      </c>
      <c r="CI106" s="202">
        <v>-2.6</v>
      </c>
      <c r="CJ106" s="202">
        <v>-1.1000000000000001</v>
      </c>
      <c r="CK106" s="202">
        <v>-2.6</v>
      </c>
      <c r="CL106" s="202">
        <v>-1.8</v>
      </c>
      <c r="CM106" s="202">
        <v>-1.8</v>
      </c>
      <c r="CN106" s="202">
        <v>-2.2000000000000002</v>
      </c>
      <c r="CO106" s="202">
        <v>-0.2</v>
      </c>
      <c r="CP106" s="202">
        <v>0.1</v>
      </c>
      <c r="CQ106" s="202">
        <v>0.2</v>
      </c>
      <c r="CR106" s="202">
        <v>0.4</v>
      </c>
      <c r="CS106" s="202">
        <v>0.4</v>
      </c>
      <c r="CT106" s="202">
        <v>1.4</v>
      </c>
      <c r="CU106" s="202">
        <v>1.4</v>
      </c>
      <c r="CV106" s="202">
        <v>1.5</v>
      </c>
      <c r="CW106" s="202">
        <v>1.7</v>
      </c>
      <c r="CX106" s="202">
        <v>1.1000000000000001</v>
      </c>
      <c r="CY106" s="202">
        <v>1.1000000000000001</v>
      </c>
      <c r="CZ106" s="202">
        <v>1.7</v>
      </c>
      <c r="DA106" s="202">
        <v>1.7</v>
      </c>
      <c r="DB106" s="202">
        <v>1.3</v>
      </c>
      <c r="DC106" s="202">
        <v>1.3</v>
      </c>
      <c r="DD106" s="202">
        <v>1</v>
      </c>
      <c r="DE106" s="202">
        <v>1</v>
      </c>
      <c r="DF106" s="202">
        <v>-0.5</v>
      </c>
      <c r="DG106" s="202">
        <v>-0.3</v>
      </c>
      <c r="DH106" s="202">
        <v>-0.4</v>
      </c>
      <c r="DI106" s="202">
        <v>-0.6</v>
      </c>
      <c r="DJ106" s="202">
        <v>-0.6</v>
      </c>
      <c r="DK106" s="202">
        <v>-0.9</v>
      </c>
      <c r="DL106" s="202">
        <v>-1.1000000000000001</v>
      </c>
      <c r="DM106" s="202">
        <v>-3.3</v>
      </c>
      <c r="DN106" s="202">
        <v>-3.2</v>
      </c>
      <c r="DO106" s="202">
        <v>-3.2</v>
      </c>
      <c r="DP106" s="202">
        <v>-3.1</v>
      </c>
      <c r="DQ106" s="202">
        <v>-3.3</v>
      </c>
      <c r="DR106" s="202">
        <v>-2.8</v>
      </c>
      <c r="DS106" s="202">
        <v>-3</v>
      </c>
      <c r="DT106" s="202">
        <v>-2.9</v>
      </c>
      <c r="DU106" s="202">
        <v>-2.7</v>
      </c>
      <c r="DV106" s="202">
        <v>-2.7</v>
      </c>
      <c r="DW106" s="202">
        <v>-2.7</v>
      </c>
      <c r="DX106" s="202">
        <v>-3.1</v>
      </c>
      <c r="DY106" s="202">
        <v>-1.6</v>
      </c>
      <c r="DZ106" s="202">
        <v>-0.3</v>
      </c>
      <c r="EA106" s="202">
        <v>-1.2</v>
      </c>
      <c r="EB106" s="202">
        <v>-1.1000000000000001</v>
      </c>
      <c r="EC106" s="202">
        <v>-1</v>
      </c>
      <c r="ED106" s="202">
        <v>-1.2</v>
      </c>
      <c r="EE106" s="202">
        <v>-0.5</v>
      </c>
      <c r="EF106" s="202">
        <v>-0.7</v>
      </c>
      <c r="EG106" s="202">
        <v>-0.8</v>
      </c>
      <c r="EH106" s="202">
        <v>-0.7</v>
      </c>
      <c r="EI106" s="202">
        <v>-0.4</v>
      </c>
      <c r="EJ106" s="202">
        <v>0.1</v>
      </c>
      <c r="EK106" s="202">
        <v>0.8</v>
      </c>
      <c r="EL106" s="202">
        <v>-0.5</v>
      </c>
      <c r="EM106" s="202">
        <v>0.2</v>
      </c>
      <c r="EN106" s="202">
        <v>0</v>
      </c>
      <c r="EO106" s="202">
        <v>0.3</v>
      </c>
      <c r="EP106" s="202">
        <v>0.4</v>
      </c>
      <c r="EQ106" s="202">
        <v>-0.3</v>
      </c>
      <c r="ER106" s="202">
        <v>-0.3</v>
      </c>
      <c r="ES106" s="202">
        <v>-0.4</v>
      </c>
      <c r="ET106" s="202">
        <v>-0.4</v>
      </c>
      <c r="EU106" s="202">
        <v>-0.3</v>
      </c>
      <c r="EV106" s="202">
        <v>-0.6</v>
      </c>
      <c r="EW106" s="202">
        <v>-1.8</v>
      </c>
      <c r="EX106" s="202">
        <v>-0.5</v>
      </c>
      <c r="EY106" s="202">
        <v>-0.5</v>
      </c>
      <c r="EZ106" s="202">
        <v>-0.4</v>
      </c>
      <c r="FA106" s="202">
        <v>0.3</v>
      </c>
      <c r="FB106" s="202">
        <v>0.3</v>
      </c>
      <c r="FC106" s="202">
        <v>0.2</v>
      </c>
      <c r="FD106" s="202">
        <v>0</v>
      </c>
      <c r="FE106" s="202">
        <v>0.3</v>
      </c>
      <c r="FF106" s="202">
        <v>0.2</v>
      </c>
      <c r="FG106" s="202">
        <v>0.4</v>
      </c>
    </row>
    <row r="107" spans="1:163" ht="14.25" customHeight="1">
      <c r="A107" s="249">
        <f t="shared" si="5"/>
        <v>0.7</v>
      </c>
      <c r="B107" s="249">
        <f t="shared" si="6"/>
        <v>1.4833333333333332</v>
      </c>
      <c r="C107" s="249">
        <f t="shared" si="7"/>
        <v>1.8666666666666665</v>
      </c>
      <c r="D107" s="187" t="s">
        <v>909</v>
      </c>
      <c r="E107" s="202">
        <v>0.5</v>
      </c>
      <c r="F107" s="202">
        <v>0.9</v>
      </c>
      <c r="G107" s="202">
        <v>1.8</v>
      </c>
      <c r="H107" s="202">
        <v>1.7</v>
      </c>
      <c r="I107" s="202">
        <v>1.9</v>
      </c>
      <c r="J107" s="202">
        <v>1</v>
      </c>
      <c r="K107" s="202">
        <v>1.2</v>
      </c>
      <c r="L107" s="202">
        <v>2.2000000000000002</v>
      </c>
      <c r="M107" s="202">
        <v>2.4</v>
      </c>
      <c r="N107" s="202">
        <v>2.1</v>
      </c>
      <c r="O107" s="202">
        <v>2.2000000000000002</v>
      </c>
      <c r="P107" s="202">
        <v>2.2999999999999998</v>
      </c>
      <c r="Q107" s="202">
        <v>2.4</v>
      </c>
      <c r="R107" s="202">
        <v>1.8</v>
      </c>
      <c r="S107" s="202">
        <v>1.1000000000000001</v>
      </c>
      <c r="T107" s="202">
        <v>1</v>
      </c>
      <c r="U107" s="202">
        <v>0.7</v>
      </c>
      <c r="V107" s="202">
        <v>2</v>
      </c>
      <c r="W107" s="202">
        <v>1.5</v>
      </c>
      <c r="X107" s="202">
        <v>1.6</v>
      </c>
      <c r="Y107" s="202">
        <v>1.6</v>
      </c>
      <c r="Z107" s="202">
        <v>1.7</v>
      </c>
      <c r="AA107" s="202">
        <v>1.4</v>
      </c>
      <c r="AB107" s="202">
        <v>1</v>
      </c>
      <c r="AC107" s="202">
        <v>1</v>
      </c>
      <c r="AD107" s="202">
        <v>1.7</v>
      </c>
      <c r="AE107" s="202">
        <v>2.2000000000000002</v>
      </c>
      <c r="AF107" s="202">
        <v>2</v>
      </c>
      <c r="AG107" s="202">
        <v>2</v>
      </c>
      <c r="AH107" s="202">
        <v>1.9</v>
      </c>
      <c r="AI107" s="202">
        <v>2.7</v>
      </c>
      <c r="AJ107" s="202">
        <v>1.6</v>
      </c>
      <c r="AK107" s="202">
        <v>1.4</v>
      </c>
      <c r="AL107" s="202">
        <v>1.8</v>
      </c>
      <c r="AM107" s="202">
        <v>1.9</v>
      </c>
      <c r="AN107" s="202">
        <v>2.2000000000000002</v>
      </c>
      <c r="AO107" s="202">
        <v>1.7</v>
      </c>
      <c r="AP107" s="202">
        <v>1.7</v>
      </c>
      <c r="AQ107" s="202">
        <v>1.4</v>
      </c>
      <c r="AR107" s="202">
        <v>1.4</v>
      </c>
      <c r="AS107" s="202">
        <v>2.2000000000000002</v>
      </c>
      <c r="AT107" s="202">
        <v>2</v>
      </c>
      <c r="AU107" s="202">
        <v>2.4</v>
      </c>
      <c r="AV107" s="202">
        <v>2.5</v>
      </c>
      <c r="AW107" s="202">
        <v>1.1000000000000001</v>
      </c>
      <c r="AX107" s="202">
        <v>0.4</v>
      </c>
      <c r="AY107" s="202">
        <v>-0.1</v>
      </c>
      <c r="AZ107" s="202">
        <v>-0.8</v>
      </c>
      <c r="BA107" s="202">
        <v>-0.9</v>
      </c>
      <c r="BB107" s="202">
        <v>-1.6</v>
      </c>
      <c r="BC107" s="202">
        <v>-1.6</v>
      </c>
      <c r="BD107" s="202">
        <v>-1.4</v>
      </c>
      <c r="BE107" s="202">
        <v>-2.1</v>
      </c>
      <c r="BF107" s="202">
        <v>-2.7</v>
      </c>
      <c r="BG107" s="202">
        <v>-3.7</v>
      </c>
      <c r="BH107" s="202">
        <v>-3.5</v>
      </c>
      <c r="BI107" s="202">
        <v>-2</v>
      </c>
      <c r="BJ107" s="202">
        <v>-0.9</v>
      </c>
      <c r="BK107" s="202">
        <v>-0.9</v>
      </c>
      <c r="BL107" s="202">
        <v>-0.5</v>
      </c>
      <c r="BM107" s="202">
        <v>0</v>
      </c>
      <c r="BN107" s="202">
        <v>0.4</v>
      </c>
      <c r="BO107" s="202">
        <v>1.7</v>
      </c>
      <c r="BP107" s="202">
        <v>2.4</v>
      </c>
      <c r="BQ107" s="202">
        <v>3.6</v>
      </c>
      <c r="BR107" s="202">
        <v>4.2</v>
      </c>
      <c r="BS107" s="202">
        <v>5</v>
      </c>
      <c r="BT107" s="202">
        <v>5</v>
      </c>
      <c r="BU107" s="202">
        <v>3.7</v>
      </c>
      <c r="BV107" s="202">
        <v>4.5999999999999996</v>
      </c>
      <c r="BW107" s="202">
        <v>3.6</v>
      </c>
      <c r="BX107" s="202">
        <v>3.5</v>
      </c>
      <c r="BY107" s="202">
        <v>3.7</v>
      </c>
      <c r="BZ107" s="202">
        <v>4.2</v>
      </c>
      <c r="CA107" s="202">
        <v>3.7</v>
      </c>
      <c r="CB107" s="202">
        <v>3.4</v>
      </c>
      <c r="CC107" s="202">
        <v>2</v>
      </c>
      <c r="CD107" s="202">
        <v>1.9</v>
      </c>
      <c r="CE107" s="202">
        <v>2.6</v>
      </c>
      <c r="CF107" s="202">
        <v>2.8</v>
      </c>
      <c r="CG107" s="202">
        <v>1.9</v>
      </c>
      <c r="CH107" s="202">
        <v>0.6</v>
      </c>
      <c r="CI107" s="202">
        <v>0.7</v>
      </c>
      <c r="CJ107" s="202">
        <v>1.6</v>
      </c>
      <c r="CK107" s="202">
        <v>2</v>
      </c>
      <c r="CL107" s="202">
        <v>1.6</v>
      </c>
      <c r="CM107" s="202">
        <v>0.6</v>
      </c>
      <c r="CN107" s="202">
        <v>0.1</v>
      </c>
      <c r="CO107" s="202">
        <v>1.5</v>
      </c>
      <c r="CP107" s="202">
        <v>1.8</v>
      </c>
      <c r="CQ107" s="202">
        <v>1.8</v>
      </c>
      <c r="CR107" s="202">
        <v>3.5</v>
      </c>
      <c r="CS107" s="202">
        <v>3.9</v>
      </c>
      <c r="CT107" s="202">
        <v>3.6</v>
      </c>
      <c r="CU107" s="202">
        <v>3</v>
      </c>
      <c r="CV107" s="202">
        <v>2.2999999999999998</v>
      </c>
      <c r="CW107" s="202">
        <v>1.7</v>
      </c>
      <c r="CX107" s="202">
        <v>0.8</v>
      </c>
      <c r="CY107" s="202">
        <v>1.4</v>
      </c>
      <c r="CZ107" s="202">
        <v>2.9</v>
      </c>
      <c r="DA107" s="202">
        <v>3</v>
      </c>
      <c r="DB107" s="202">
        <v>2.6</v>
      </c>
      <c r="DC107" s="202">
        <v>2.5</v>
      </c>
      <c r="DD107" s="202">
        <v>1.5</v>
      </c>
      <c r="DE107" s="202">
        <v>0.3</v>
      </c>
      <c r="DF107" s="202">
        <v>-0.9</v>
      </c>
      <c r="DG107" s="202">
        <v>-0.5</v>
      </c>
      <c r="DH107" s="202">
        <v>-0.7</v>
      </c>
      <c r="DI107" s="202">
        <v>-0.6</v>
      </c>
      <c r="DJ107" s="202">
        <v>0.1</v>
      </c>
      <c r="DK107" s="202">
        <v>-0.2</v>
      </c>
      <c r="DL107" s="202">
        <v>-1.8</v>
      </c>
      <c r="DM107" s="202">
        <v>-3.1</v>
      </c>
      <c r="DN107" s="202">
        <v>-3.9</v>
      </c>
      <c r="DO107" s="202">
        <v>-5.2</v>
      </c>
      <c r="DP107" s="202">
        <v>-5.5</v>
      </c>
      <c r="DQ107" s="202">
        <v>-2.6</v>
      </c>
      <c r="DR107" s="202">
        <v>0</v>
      </c>
      <c r="DS107" s="202">
        <v>1.2</v>
      </c>
      <c r="DT107" s="202">
        <v>1.8</v>
      </c>
      <c r="DU107" s="202">
        <v>1.6</v>
      </c>
      <c r="DV107" s="202">
        <v>1.8</v>
      </c>
      <c r="DW107" s="202">
        <v>1.4</v>
      </c>
      <c r="DX107" s="202">
        <v>0.9</v>
      </c>
      <c r="DY107" s="202">
        <v>1.2</v>
      </c>
      <c r="DZ107" s="202">
        <v>1.3</v>
      </c>
      <c r="EA107" s="202">
        <v>1.3</v>
      </c>
      <c r="EB107" s="202">
        <v>0.8</v>
      </c>
      <c r="EC107" s="202">
        <v>0.9</v>
      </c>
      <c r="ED107" s="202">
        <v>0.6</v>
      </c>
      <c r="EE107" s="202">
        <v>1</v>
      </c>
      <c r="EF107" s="202">
        <v>0.4</v>
      </c>
      <c r="EG107" s="202">
        <v>0.3</v>
      </c>
      <c r="EH107" s="202">
        <v>0.1</v>
      </c>
      <c r="EI107" s="202">
        <v>0.5</v>
      </c>
      <c r="EJ107" s="202">
        <v>1.2</v>
      </c>
      <c r="EK107" s="202">
        <v>1</v>
      </c>
      <c r="EL107" s="202">
        <v>1</v>
      </c>
      <c r="EM107" s="202">
        <v>0.3</v>
      </c>
      <c r="EN107" s="202">
        <v>0.4</v>
      </c>
      <c r="EO107" s="202">
        <v>1.3</v>
      </c>
      <c r="EP107" s="202">
        <v>1.6</v>
      </c>
      <c r="EQ107" s="202">
        <v>1.1000000000000001</v>
      </c>
      <c r="ER107" s="202">
        <v>0.9</v>
      </c>
      <c r="ES107" s="202">
        <v>0.9</v>
      </c>
      <c r="ET107" s="202">
        <v>0.8</v>
      </c>
      <c r="EU107" s="202">
        <v>0.9</v>
      </c>
      <c r="EV107" s="202">
        <v>0.7</v>
      </c>
      <c r="EW107" s="202">
        <v>0.6</v>
      </c>
      <c r="EX107" s="202">
        <v>0.7</v>
      </c>
      <c r="EY107" s="202">
        <v>1.8</v>
      </c>
      <c r="EZ107" s="202">
        <v>1.6</v>
      </c>
      <c r="FA107" s="202">
        <v>-0.1</v>
      </c>
      <c r="FB107" s="202">
        <v>-0.2</v>
      </c>
      <c r="FC107" s="202">
        <v>-0.2</v>
      </c>
      <c r="FD107" s="202">
        <v>-0.2</v>
      </c>
      <c r="FE107" s="202">
        <v>0.4</v>
      </c>
      <c r="FF107" s="202">
        <v>0.4</v>
      </c>
      <c r="FG107" s="202">
        <v>0</v>
      </c>
    </row>
    <row r="108" spans="1:163" ht="14.25" customHeight="1">
      <c r="A108" s="249">
        <f t="shared" si="5"/>
        <v>1.9</v>
      </c>
      <c r="B108" s="249">
        <f t="shared" si="6"/>
        <v>2.4083333333333337</v>
      </c>
      <c r="C108" s="249">
        <f t="shared" si="7"/>
        <v>2.5333333333333337</v>
      </c>
      <c r="D108" s="187" t="s">
        <v>910</v>
      </c>
      <c r="E108" s="202">
        <v>0.2</v>
      </c>
      <c r="F108" s="202">
        <v>0.1</v>
      </c>
      <c r="G108" s="202">
        <v>0.2</v>
      </c>
      <c r="H108" s="202">
        <v>0.2</v>
      </c>
      <c r="I108" s="202">
        <v>0.2</v>
      </c>
      <c r="J108" s="202">
        <v>0.2</v>
      </c>
      <c r="K108" s="202">
        <v>0.7</v>
      </c>
      <c r="L108" s="202">
        <v>0.8</v>
      </c>
      <c r="M108" s="202">
        <v>2.2999999999999998</v>
      </c>
      <c r="N108" s="202">
        <v>2.2999999999999998</v>
      </c>
      <c r="O108" s="202">
        <v>2.2999999999999998</v>
      </c>
      <c r="P108" s="202">
        <v>2.2999999999999998</v>
      </c>
      <c r="Q108" s="202">
        <v>2.2999999999999998</v>
      </c>
      <c r="R108" s="202">
        <v>2.8</v>
      </c>
      <c r="S108" s="202">
        <v>2.6</v>
      </c>
      <c r="T108" s="202">
        <v>2.6</v>
      </c>
      <c r="U108" s="202">
        <v>2.6</v>
      </c>
      <c r="V108" s="202">
        <v>2.2000000000000002</v>
      </c>
      <c r="W108" s="202">
        <v>2.1</v>
      </c>
      <c r="X108" s="202">
        <v>2.1</v>
      </c>
      <c r="Y108" s="202">
        <v>2</v>
      </c>
      <c r="Z108" s="202">
        <v>2</v>
      </c>
      <c r="AA108" s="202">
        <v>2.8</v>
      </c>
      <c r="AB108" s="202">
        <v>2.8</v>
      </c>
      <c r="AC108" s="202">
        <v>2.8</v>
      </c>
      <c r="AD108" s="202">
        <v>2.6</v>
      </c>
      <c r="AE108" s="202">
        <v>2.6</v>
      </c>
      <c r="AF108" s="202">
        <v>2.6</v>
      </c>
      <c r="AG108" s="202">
        <v>2.6</v>
      </c>
      <c r="AH108" s="202">
        <v>3.1</v>
      </c>
      <c r="AI108" s="202">
        <v>2.6</v>
      </c>
      <c r="AJ108" s="202">
        <v>2.5</v>
      </c>
      <c r="AK108" s="202">
        <v>2.6</v>
      </c>
      <c r="AL108" s="202">
        <v>2.6</v>
      </c>
      <c r="AM108" s="202">
        <v>1.9</v>
      </c>
      <c r="AN108" s="202">
        <v>1.9</v>
      </c>
      <c r="AO108" s="202">
        <v>1.9</v>
      </c>
      <c r="AP108" s="202">
        <v>1.7</v>
      </c>
      <c r="AQ108" s="202">
        <v>1.7</v>
      </c>
      <c r="AR108" s="202">
        <v>1.6</v>
      </c>
      <c r="AS108" s="202">
        <v>1.5</v>
      </c>
      <c r="AT108" s="202">
        <v>1.5</v>
      </c>
      <c r="AU108" s="202">
        <v>1.6</v>
      </c>
      <c r="AV108" s="202">
        <v>1.7</v>
      </c>
      <c r="AW108" s="202">
        <v>-8.8000000000000007</v>
      </c>
      <c r="AX108" s="202">
        <v>-8.8000000000000007</v>
      </c>
      <c r="AY108" s="202">
        <v>-8.9</v>
      </c>
      <c r="AZ108" s="202">
        <v>-8.9</v>
      </c>
      <c r="BA108" s="202">
        <v>-8.9</v>
      </c>
      <c r="BB108" s="202">
        <v>-8.9</v>
      </c>
      <c r="BC108" s="202">
        <v>-8.9</v>
      </c>
      <c r="BD108" s="202">
        <v>-8.9</v>
      </c>
      <c r="BE108" s="202">
        <v>-8.9</v>
      </c>
      <c r="BF108" s="202">
        <v>-8.9</v>
      </c>
      <c r="BG108" s="202">
        <v>-9.4</v>
      </c>
      <c r="BH108" s="202">
        <v>-9.4</v>
      </c>
      <c r="BI108" s="202">
        <v>0.7</v>
      </c>
      <c r="BJ108" s="202">
        <v>0.9</v>
      </c>
      <c r="BK108" s="202">
        <v>1.1000000000000001</v>
      </c>
      <c r="BL108" s="202">
        <v>1.1000000000000001</v>
      </c>
      <c r="BM108" s="202">
        <v>-0.8</v>
      </c>
      <c r="BN108" s="202">
        <v>-0.8</v>
      </c>
      <c r="BO108" s="202">
        <v>-0.8</v>
      </c>
      <c r="BP108" s="202">
        <v>-0.8</v>
      </c>
      <c r="BQ108" s="202">
        <v>-0.5</v>
      </c>
      <c r="BR108" s="202">
        <v>-0.4</v>
      </c>
      <c r="BS108" s="202">
        <v>0.1</v>
      </c>
      <c r="BT108" s="202">
        <v>-0.6</v>
      </c>
      <c r="BU108" s="202">
        <v>-0.7</v>
      </c>
      <c r="BV108" s="202">
        <v>-1</v>
      </c>
      <c r="BW108" s="202">
        <v>-1</v>
      </c>
      <c r="BX108" s="202">
        <v>-1</v>
      </c>
      <c r="BY108" s="202">
        <v>0.9</v>
      </c>
      <c r="BZ108" s="202">
        <v>0.9</v>
      </c>
      <c r="CA108" s="202">
        <v>0.8</v>
      </c>
      <c r="CB108" s="202">
        <v>0.8</v>
      </c>
      <c r="CC108" s="202">
        <v>0.5</v>
      </c>
      <c r="CD108" s="202">
        <v>0.5</v>
      </c>
      <c r="CE108" s="202">
        <v>0.3</v>
      </c>
      <c r="CF108" s="202">
        <v>0.9</v>
      </c>
      <c r="CG108" s="202">
        <v>0.1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0.2</v>
      </c>
      <c r="CR108" s="202">
        <v>0.2</v>
      </c>
      <c r="CS108" s="202">
        <v>0.1</v>
      </c>
      <c r="CT108" s="202">
        <v>0.1</v>
      </c>
      <c r="CU108" s="202">
        <v>0.1</v>
      </c>
      <c r="CV108" s="202">
        <v>0.2</v>
      </c>
      <c r="CW108" s="202">
        <v>0.3</v>
      </c>
      <c r="CX108" s="202">
        <v>0.1</v>
      </c>
      <c r="CY108" s="202">
        <v>0.1</v>
      </c>
      <c r="CZ108" s="202">
        <v>0.1</v>
      </c>
      <c r="DA108" s="202">
        <v>0.1</v>
      </c>
      <c r="DB108" s="202">
        <v>0.1</v>
      </c>
      <c r="DC108" s="202">
        <v>-0.8</v>
      </c>
      <c r="DD108" s="202">
        <v>-0.9</v>
      </c>
      <c r="DE108" s="202">
        <v>-1</v>
      </c>
      <c r="DF108" s="202">
        <v>-1.1000000000000001</v>
      </c>
      <c r="DG108" s="202">
        <v>-1.1000000000000001</v>
      </c>
      <c r="DH108" s="202">
        <v>-1.1000000000000001</v>
      </c>
      <c r="DI108" s="202">
        <v>-1.2</v>
      </c>
      <c r="DJ108" s="202">
        <v>-1</v>
      </c>
      <c r="DK108" s="202">
        <v>-1</v>
      </c>
      <c r="DL108" s="202">
        <v>-1</v>
      </c>
      <c r="DM108" s="202">
        <v>-1</v>
      </c>
      <c r="DN108" s="202">
        <v>-0.9</v>
      </c>
      <c r="DO108" s="202">
        <v>0.6</v>
      </c>
      <c r="DP108" s="202">
        <v>0.7</v>
      </c>
      <c r="DQ108" s="202">
        <v>0.7</v>
      </c>
      <c r="DR108" s="202">
        <v>1.1000000000000001</v>
      </c>
      <c r="DS108" s="202">
        <v>1.1000000000000001</v>
      </c>
      <c r="DT108" s="202">
        <v>1.1000000000000001</v>
      </c>
      <c r="DU108" s="202">
        <v>1.1000000000000001</v>
      </c>
      <c r="DV108" s="202">
        <v>1.1000000000000001</v>
      </c>
      <c r="DW108" s="202">
        <v>1.1000000000000001</v>
      </c>
      <c r="DX108" s="202">
        <v>1.1000000000000001</v>
      </c>
      <c r="DY108" s="202">
        <v>1.1000000000000001</v>
      </c>
      <c r="DZ108" s="202">
        <v>1</v>
      </c>
      <c r="EA108" s="202">
        <v>0.3</v>
      </c>
      <c r="EB108" s="202">
        <v>0.3</v>
      </c>
      <c r="EC108" s="202">
        <v>0.7</v>
      </c>
      <c r="ED108" s="202">
        <v>0.4</v>
      </c>
      <c r="EE108" s="202">
        <v>0.4</v>
      </c>
      <c r="EF108" s="202">
        <v>0.5</v>
      </c>
      <c r="EG108" s="202">
        <v>0.4</v>
      </c>
      <c r="EH108" s="202">
        <v>0.3</v>
      </c>
      <c r="EI108" s="202">
        <v>0.3</v>
      </c>
      <c r="EJ108" s="202">
        <v>0.4</v>
      </c>
      <c r="EK108" s="202">
        <v>0.4</v>
      </c>
      <c r="EL108" s="202">
        <v>0.4</v>
      </c>
      <c r="EM108" s="202">
        <v>0.1</v>
      </c>
      <c r="EN108" s="202">
        <v>0.1</v>
      </c>
      <c r="EO108" s="202">
        <v>-0.2</v>
      </c>
      <c r="EP108" s="202">
        <v>0.8</v>
      </c>
      <c r="EQ108" s="202">
        <v>0.8</v>
      </c>
      <c r="ER108" s="202">
        <v>0.7</v>
      </c>
      <c r="ES108" s="202">
        <v>0.8</v>
      </c>
      <c r="ET108" s="202">
        <v>0.9</v>
      </c>
      <c r="EU108" s="202">
        <v>0.8</v>
      </c>
      <c r="EV108" s="202">
        <v>0.8</v>
      </c>
      <c r="EW108" s="202">
        <v>0.8</v>
      </c>
      <c r="EX108" s="202">
        <v>1</v>
      </c>
      <c r="EY108" s="202">
        <v>1.1000000000000001</v>
      </c>
      <c r="EZ108" s="202">
        <v>1.1000000000000001</v>
      </c>
      <c r="FA108" s="202">
        <v>1.2</v>
      </c>
      <c r="FB108" s="202">
        <v>0.3</v>
      </c>
      <c r="FC108" s="202">
        <v>0.3</v>
      </c>
      <c r="FD108" s="202">
        <v>0.3</v>
      </c>
      <c r="FE108" s="202">
        <v>0.4</v>
      </c>
      <c r="FF108" s="202">
        <v>0.4</v>
      </c>
      <c r="FG108" s="202">
        <v>-0.6</v>
      </c>
    </row>
    <row r="109" spans="1:163" ht="14.25" customHeight="1">
      <c r="A109" s="249">
        <f t="shared" si="5"/>
        <v>2.5</v>
      </c>
      <c r="B109" s="249">
        <f t="shared" si="6"/>
        <v>5.625</v>
      </c>
      <c r="C109" s="249">
        <f t="shared" si="7"/>
        <v>4.55</v>
      </c>
      <c r="D109" s="187" t="s">
        <v>911</v>
      </c>
      <c r="E109" s="202">
        <v>2.6</v>
      </c>
      <c r="F109" s="202">
        <v>2.5</v>
      </c>
      <c r="G109" s="202">
        <v>2.7</v>
      </c>
      <c r="H109" s="202">
        <v>2.5</v>
      </c>
      <c r="I109" s="202">
        <v>2.1</v>
      </c>
      <c r="J109" s="202">
        <v>0.4</v>
      </c>
      <c r="K109" s="202">
        <v>1.9</v>
      </c>
      <c r="L109" s="202">
        <v>1.4</v>
      </c>
      <c r="M109" s="202">
        <v>1.4</v>
      </c>
      <c r="N109" s="202">
        <v>1.8</v>
      </c>
      <c r="O109" s="202">
        <v>1.9</v>
      </c>
      <c r="P109" s="202">
        <v>2</v>
      </c>
      <c r="Q109" s="202">
        <v>2.5</v>
      </c>
      <c r="R109" s="202">
        <v>3.4</v>
      </c>
      <c r="S109" s="202">
        <v>4.4000000000000004</v>
      </c>
      <c r="T109" s="202">
        <v>4.5</v>
      </c>
      <c r="U109" s="202">
        <v>6</v>
      </c>
      <c r="V109" s="202">
        <v>6.4</v>
      </c>
      <c r="W109" s="202">
        <v>6.5</v>
      </c>
      <c r="X109" s="202">
        <v>6.9</v>
      </c>
      <c r="Y109" s="202">
        <v>7.2</v>
      </c>
      <c r="Z109" s="202">
        <v>6.7</v>
      </c>
      <c r="AA109" s="202">
        <v>6.5</v>
      </c>
      <c r="AB109" s="202">
        <v>6.5</v>
      </c>
      <c r="AC109" s="202">
        <v>6.1</v>
      </c>
      <c r="AD109" s="202">
        <v>6.4</v>
      </c>
      <c r="AE109" s="202">
        <v>5.2</v>
      </c>
      <c r="AF109" s="202">
        <v>4.5999999999999996</v>
      </c>
      <c r="AG109" s="202">
        <v>3.6</v>
      </c>
      <c r="AH109" s="202">
        <v>4.5999999999999996</v>
      </c>
      <c r="AI109" s="202">
        <v>5</v>
      </c>
      <c r="AJ109" s="202">
        <v>4.4000000000000004</v>
      </c>
      <c r="AK109" s="202">
        <v>3.4</v>
      </c>
      <c r="AL109" s="202">
        <v>3.5</v>
      </c>
      <c r="AM109" s="202">
        <v>4.0999999999999996</v>
      </c>
      <c r="AN109" s="202">
        <v>3.7</v>
      </c>
      <c r="AO109" s="202">
        <v>4</v>
      </c>
      <c r="AP109" s="202">
        <v>2.8</v>
      </c>
      <c r="AQ109" s="202">
        <v>2.8</v>
      </c>
      <c r="AR109" s="202">
        <v>2.8</v>
      </c>
      <c r="AS109" s="202">
        <v>2.2999999999999998</v>
      </c>
      <c r="AT109" s="202">
        <v>2.2000000000000002</v>
      </c>
      <c r="AU109" s="202">
        <v>2</v>
      </c>
      <c r="AV109" s="202">
        <v>2.7</v>
      </c>
      <c r="AW109" s="202">
        <v>2.1</v>
      </c>
      <c r="AX109" s="202">
        <v>2.2000000000000002</v>
      </c>
      <c r="AY109" s="202">
        <v>1.1000000000000001</v>
      </c>
      <c r="AZ109" s="202">
        <v>0.3</v>
      </c>
      <c r="BA109" s="202">
        <v>0.1</v>
      </c>
      <c r="BB109" s="202">
        <v>0.1</v>
      </c>
      <c r="BC109" s="202">
        <v>0.2</v>
      </c>
      <c r="BD109" s="202">
        <v>0.5</v>
      </c>
      <c r="BE109" s="202">
        <v>0.3</v>
      </c>
      <c r="BF109" s="202">
        <v>1.3</v>
      </c>
      <c r="BG109" s="202">
        <v>1.9</v>
      </c>
      <c r="BH109" s="202">
        <v>2</v>
      </c>
      <c r="BI109" s="202">
        <v>0.7</v>
      </c>
      <c r="BJ109" s="202">
        <v>0.4</v>
      </c>
      <c r="BK109" s="202">
        <v>0.5</v>
      </c>
      <c r="BL109" s="202">
        <v>0.9</v>
      </c>
      <c r="BM109" s="202">
        <v>0.7</v>
      </c>
      <c r="BN109" s="202">
        <v>0.3</v>
      </c>
      <c r="BO109" s="202">
        <v>1.6</v>
      </c>
      <c r="BP109" s="202">
        <v>1.8</v>
      </c>
      <c r="BQ109" s="202">
        <v>-0.8</v>
      </c>
      <c r="BR109" s="202">
        <v>-2.2999999999999998</v>
      </c>
      <c r="BS109" s="202">
        <v>-4.3</v>
      </c>
      <c r="BT109" s="202">
        <v>-4.3</v>
      </c>
      <c r="BU109" s="202">
        <v>-1.2</v>
      </c>
      <c r="BV109" s="202">
        <v>1.1000000000000001</v>
      </c>
      <c r="BW109" s="202">
        <v>1</v>
      </c>
      <c r="BX109" s="202">
        <v>0.9</v>
      </c>
      <c r="BY109" s="202">
        <v>0.7</v>
      </c>
      <c r="BZ109" s="202">
        <v>1.1000000000000001</v>
      </c>
      <c r="CA109" s="202">
        <v>0.2</v>
      </c>
      <c r="CB109" s="202">
        <v>1.5</v>
      </c>
      <c r="CC109" s="202">
        <v>4</v>
      </c>
      <c r="CD109" s="202">
        <v>3.5</v>
      </c>
      <c r="CE109" s="202">
        <v>3.6</v>
      </c>
      <c r="CF109" s="202">
        <v>3.1</v>
      </c>
      <c r="CG109" s="202">
        <v>5.8</v>
      </c>
      <c r="CH109" s="202">
        <v>3.9</v>
      </c>
      <c r="CI109" s="202">
        <v>1.3</v>
      </c>
      <c r="CJ109" s="202">
        <v>-0.2</v>
      </c>
      <c r="CK109" s="202">
        <v>0.3</v>
      </c>
      <c r="CL109" s="202">
        <v>0.3</v>
      </c>
      <c r="CM109" s="202">
        <v>0.2</v>
      </c>
      <c r="CN109" s="202">
        <v>0.6</v>
      </c>
      <c r="CO109" s="202">
        <v>1.8</v>
      </c>
      <c r="CP109" s="202">
        <v>2.9</v>
      </c>
      <c r="CQ109" s="202">
        <v>0.9</v>
      </c>
      <c r="CR109" s="202">
        <v>1.1000000000000001</v>
      </c>
      <c r="CS109" s="202">
        <v>0.9</v>
      </c>
      <c r="CT109" s="202">
        <v>0.3</v>
      </c>
      <c r="CU109" s="202">
        <v>0.8</v>
      </c>
      <c r="CV109" s="202">
        <v>2.6</v>
      </c>
      <c r="CW109" s="202">
        <v>2.5</v>
      </c>
      <c r="CX109" s="202">
        <v>2</v>
      </c>
      <c r="CY109" s="202">
        <v>1.3</v>
      </c>
      <c r="CZ109" s="202">
        <v>1.6</v>
      </c>
      <c r="DA109" s="202">
        <v>1.6</v>
      </c>
      <c r="DB109" s="202">
        <v>2.2999999999999998</v>
      </c>
      <c r="DC109" s="202">
        <v>3.3</v>
      </c>
      <c r="DD109" s="202">
        <v>3.4</v>
      </c>
      <c r="DE109" s="202">
        <v>1.6</v>
      </c>
      <c r="DF109" s="202">
        <v>1.4</v>
      </c>
      <c r="DG109" s="202">
        <v>1.4</v>
      </c>
      <c r="DH109" s="202">
        <v>1.4</v>
      </c>
      <c r="DI109" s="202">
        <v>2.2999999999999998</v>
      </c>
      <c r="DJ109" s="202">
        <v>1.8</v>
      </c>
      <c r="DK109" s="202">
        <v>2</v>
      </c>
      <c r="DL109" s="202">
        <v>2</v>
      </c>
      <c r="DM109" s="202">
        <v>0.5</v>
      </c>
      <c r="DN109" s="202">
        <v>-1.2</v>
      </c>
      <c r="DO109" s="202">
        <v>-0.5</v>
      </c>
      <c r="DP109" s="202">
        <v>-0.9</v>
      </c>
      <c r="DQ109" s="202">
        <v>0.1</v>
      </c>
      <c r="DR109" s="202">
        <v>-0.3</v>
      </c>
      <c r="DS109" s="202">
        <v>0.8</v>
      </c>
      <c r="DT109" s="202">
        <v>1.1000000000000001</v>
      </c>
      <c r="DU109" s="202">
        <v>0.2</v>
      </c>
      <c r="DV109" s="202">
        <v>1</v>
      </c>
      <c r="DW109" s="202">
        <v>1.1000000000000001</v>
      </c>
      <c r="DX109" s="202">
        <v>1.9</v>
      </c>
      <c r="DY109" s="202">
        <v>1.7</v>
      </c>
      <c r="DZ109" s="202">
        <v>4.3</v>
      </c>
      <c r="EA109" s="202">
        <v>4.5999999999999996</v>
      </c>
      <c r="EB109" s="202">
        <v>5</v>
      </c>
      <c r="EC109" s="202">
        <v>4.2</v>
      </c>
      <c r="ED109" s="202">
        <v>4.3</v>
      </c>
      <c r="EE109" s="202">
        <v>3.9</v>
      </c>
      <c r="EF109" s="202">
        <v>3.4</v>
      </c>
      <c r="EG109" s="202">
        <v>3.3</v>
      </c>
      <c r="EH109" s="202">
        <v>2.6</v>
      </c>
      <c r="EI109" s="202">
        <v>2.7</v>
      </c>
      <c r="EJ109" s="202">
        <v>2.2000000000000002</v>
      </c>
      <c r="EK109" s="202">
        <v>1.6</v>
      </c>
      <c r="EL109" s="202">
        <v>1.5</v>
      </c>
      <c r="EM109" s="202">
        <v>3.4</v>
      </c>
      <c r="EN109" s="202">
        <v>2.6</v>
      </c>
      <c r="EO109" s="202">
        <v>2.6</v>
      </c>
      <c r="EP109" s="202">
        <v>2</v>
      </c>
      <c r="EQ109" s="202">
        <v>2.4</v>
      </c>
      <c r="ER109" s="202">
        <v>2.5</v>
      </c>
      <c r="ES109" s="202">
        <v>2.7</v>
      </c>
      <c r="ET109" s="202">
        <v>3</v>
      </c>
      <c r="EU109" s="202">
        <v>2.7</v>
      </c>
      <c r="EV109" s="202">
        <v>2.4</v>
      </c>
      <c r="EW109" s="202">
        <v>3.5</v>
      </c>
      <c r="EX109" s="202">
        <v>2.2000000000000002</v>
      </c>
      <c r="EY109" s="202">
        <v>2.1</v>
      </c>
      <c r="EZ109" s="202">
        <v>1.3</v>
      </c>
      <c r="FA109" s="202">
        <v>1.6</v>
      </c>
      <c r="FB109" s="202">
        <v>2.4</v>
      </c>
      <c r="FC109" s="202">
        <v>1.9</v>
      </c>
      <c r="FD109" s="202">
        <v>2.4</v>
      </c>
      <c r="FE109" s="202">
        <v>1.7</v>
      </c>
      <c r="FF109" s="202">
        <v>1.3</v>
      </c>
      <c r="FG109" s="202">
        <v>1.8</v>
      </c>
    </row>
    <row r="110" spans="1:163" ht="14.25" customHeight="1">
      <c r="A110" s="249">
        <f t="shared" si="5"/>
        <v>2.6</v>
      </c>
      <c r="B110" s="249">
        <f t="shared" si="6"/>
        <v>4.1083333333333334</v>
      </c>
      <c r="C110" s="249">
        <f t="shared" si="7"/>
        <v>3.6749999999999994</v>
      </c>
      <c r="D110" s="187" t="s">
        <v>912</v>
      </c>
      <c r="E110" s="202">
        <v>2.7</v>
      </c>
      <c r="F110" s="202">
        <v>2.7</v>
      </c>
      <c r="G110" s="202">
        <v>2.7</v>
      </c>
      <c r="H110" s="202">
        <v>2.8</v>
      </c>
      <c r="I110" s="202">
        <v>3.1</v>
      </c>
      <c r="J110" s="202">
        <v>3</v>
      </c>
      <c r="K110" s="202">
        <v>3</v>
      </c>
      <c r="L110" s="202">
        <v>3.2</v>
      </c>
      <c r="M110" s="202">
        <v>3.1</v>
      </c>
      <c r="N110" s="202">
        <v>3.6</v>
      </c>
      <c r="O110" s="202">
        <v>3.9</v>
      </c>
      <c r="P110" s="202">
        <v>4.0999999999999996</v>
      </c>
      <c r="Q110" s="202">
        <v>3.6</v>
      </c>
      <c r="R110" s="202">
        <v>3.8</v>
      </c>
      <c r="S110" s="202">
        <v>3.9</v>
      </c>
      <c r="T110" s="202">
        <v>4.3</v>
      </c>
      <c r="U110" s="202">
        <v>4</v>
      </c>
      <c r="V110" s="202">
        <v>4.0999999999999996</v>
      </c>
      <c r="W110" s="202">
        <v>4.2</v>
      </c>
      <c r="X110" s="202">
        <v>4.2</v>
      </c>
      <c r="Y110" s="202">
        <v>4.2</v>
      </c>
      <c r="Z110" s="202">
        <v>4.2</v>
      </c>
      <c r="AA110" s="202">
        <v>4.4000000000000004</v>
      </c>
      <c r="AB110" s="202">
        <v>4.4000000000000004</v>
      </c>
      <c r="AC110" s="202">
        <v>4.3</v>
      </c>
      <c r="AD110" s="202">
        <v>4.2</v>
      </c>
      <c r="AE110" s="202">
        <v>4.0999999999999996</v>
      </c>
      <c r="AF110" s="202">
        <v>3.8</v>
      </c>
      <c r="AG110" s="202">
        <v>3.9</v>
      </c>
      <c r="AH110" s="202">
        <v>4</v>
      </c>
      <c r="AI110" s="202">
        <v>4</v>
      </c>
      <c r="AJ110" s="202">
        <v>3.8</v>
      </c>
      <c r="AK110" s="202">
        <v>3.4</v>
      </c>
      <c r="AL110" s="202">
        <v>3.2</v>
      </c>
      <c r="AM110" s="202">
        <v>2.8</v>
      </c>
      <c r="AN110" s="202">
        <v>2.6</v>
      </c>
      <c r="AO110" s="202">
        <v>2.7</v>
      </c>
      <c r="AP110" s="202">
        <v>2.2999999999999998</v>
      </c>
      <c r="AQ110" s="202">
        <v>2.2999999999999998</v>
      </c>
      <c r="AR110" s="202">
        <v>1.9</v>
      </c>
      <c r="AS110" s="202">
        <v>1.8</v>
      </c>
      <c r="AT110" s="202">
        <v>1.2</v>
      </c>
      <c r="AU110" s="202">
        <v>1.1000000000000001</v>
      </c>
      <c r="AV110" s="202">
        <v>1.1000000000000001</v>
      </c>
      <c r="AW110" s="202">
        <v>1.3</v>
      </c>
      <c r="AX110" s="202">
        <v>1.5</v>
      </c>
      <c r="AY110" s="202">
        <v>1.3</v>
      </c>
      <c r="AZ110" s="202">
        <v>1.2</v>
      </c>
      <c r="BA110" s="202">
        <v>1</v>
      </c>
      <c r="BB110" s="202">
        <v>1.2</v>
      </c>
      <c r="BC110" s="202">
        <v>1.3</v>
      </c>
      <c r="BD110" s="202">
        <v>1.4</v>
      </c>
      <c r="BE110" s="202">
        <v>1.4</v>
      </c>
      <c r="BF110" s="202">
        <v>1.8</v>
      </c>
      <c r="BG110" s="202">
        <v>1.8</v>
      </c>
      <c r="BH110" s="202">
        <v>1.8</v>
      </c>
      <c r="BI110" s="202">
        <v>1.9</v>
      </c>
      <c r="BJ110" s="202">
        <v>1.7</v>
      </c>
      <c r="BK110" s="202">
        <v>1.7</v>
      </c>
      <c r="BL110" s="202">
        <v>2</v>
      </c>
      <c r="BM110" s="202">
        <v>1.7</v>
      </c>
      <c r="BN110" s="202">
        <v>1.6</v>
      </c>
      <c r="BO110" s="202">
        <v>1.8</v>
      </c>
      <c r="BP110" s="202">
        <v>1.9</v>
      </c>
      <c r="BQ110" s="202">
        <v>2.4</v>
      </c>
      <c r="BR110" s="202">
        <v>2.4</v>
      </c>
      <c r="BS110" s="202">
        <v>2.4</v>
      </c>
      <c r="BT110" s="202">
        <v>2.2999999999999998</v>
      </c>
      <c r="BU110" s="202">
        <v>1.9</v>
      </c>
      <c r="BV110" s="202">
        <v>2.2000000000000002</v>
      </c>
      <c r="BW110" s="202">
        <v>2.2000000000000002</v>
      </c>
      <c r="BX110" s="202">
        <v>2.1</v>
      </c>
      <c r="BY110" s="202">
        <v>2.5</v>
      </c>
      <c r="BZ110" s="202">
        <v>2.2999999999999998</v>
      </c>
      <c r="CA110" s="202">
        <v>2</v>
      </c>
      <c r="CB110" s="202">
        <v>2</v>
      </c>
      <c r="CC110" s="202">
        <v>1.3</v>
      </c>
      <c r="CD110" s="202">
        <v>1.1000000000000001</v>
      </c>
      <c r="CE110" s="202">
        <v>1.2</v>
      </c>
      <c r="CF110" s="202">
        <v>1</v>
      </c>
      <c r="CG110" s="202">
        <v>1.4</v>
      </c>
      <c r="CH110" s="202">
        <v>1.3</v>
      </c>
      <c r="CI110" s="202">
        <v>1.3</v>
      </c>
      <c r="CJ110" s="202">
        <v>1</v>
      </c>
      <c r="CK110" s="202">
        <v>0.7</v>
      </c>
      <c r="CL110" s="202">
        <v>0.5</v>
      </c>
      <c r="CM110" s="202">
        <v>0.6</v>
      </c>
      <c r="CN110" s="202">
        <v>0.2</v>
      </c>
      <c r="CO110" s="202">
        <v>-0.1</v>
      </c>
      <c r="CP110" s="202">
        <v>0</v>
      </c>
      <c r="CQ110" s="202">
        <v>-0.1</v>
      </c>
      <c r="CR110" s="202">
        <v>-0.2</v>
      </c>
      <c r="CS110" s="202">
        <v>-0.4</v>
      </c>
      <c r="CT110" s="202">
        <v>-1.1000000000000001</v>
      </c>
      <c r="CU110" s="202">
        <v>-1</v>
      </c>
      <c r="CV110" s="202">
        <v>-0.8</v>
      </c>
      <c r="CW110" s="202">
        <v>-0.5</v>
      </c>
      <c r="CX110" s="202">
        <v>-0.3</v>
      </c>
      <c r="CY110" s="202">
        <v>-0.6</v>
      </c>
      <c r="CZ110" s="202">
        <v>-0.2</v>
      </c>
      <c r="DA110" s="202">
        <v>-0.1</v>
      </c>
      <c r="DB110" s="202">
        <v>0.3</v>
      </c>
      <c r="DC110" s="202">
        <v>0.2</v>
      </c>
      <c r="DD110" s="202">
        <v>0.6</v>
      </c>
      <c r="DE110" s="202">
        <v>0.3</v>
      </c>
      <c r="DF110" s="202">
        <v>0.5</v>
      </c>
      <c r="DG110" s="202">
        <v>0.3</v>
      </c>
      <c r="DH110" s="202">
        <v>0.2</v>
      </c>
      <c r="DI110" s="202">
        <v>0.2</v>
      </c>
      <c r="DJ110" s="202">
        <v>0.2</v>
      </c>
      <c r="DK110" s="202">
        <v>0.3</v>
      </c>
      <c r="DL110" s="202">
        <v>0.4</v>
      </c>
      <c r="DM110" s="202">
        <v>0.6</v>
      </c>
      <c r="DN110" s="202">
        <v>0.5</v>
      </c>
      <c r="DO110" s="202">
        <v>0.6</v>
      </c>
      <c r="DP110" s="202">
        <v>0.3</v>
      </c>
      <c r="DQ110" s="202">
        <v>0.7</v>
      </c>
      <c r="DR110" s="202">
        <v>0.7</v>
      </c>
      <c r="DS110" s="202">
        <v>0.8</v>
      </c>
      <c r="DT110" s="202">
        <v>0.9</v>
      </c>
      <c r="DU110" s="202">
        <v>0.9</v>
      </c>
      <c r="DV110" s="202">
        <v>0.8</v>
      </c>
      <c r="DW110" s="202">
        <v>0.9</v>
      </c>
      <c r="DX110" s="202">
        <v>0.8</v>
      </c>
      <c r="DY110" s="202">
        <v>0.5</v>
      </c>
      <c r="DZ110" s="202">
        <v>0.2</v>
      </c>
      <c r="EA110" s="202">
        <v>0</v>
      </c>
      <c r="EB110" s="202">
        <v>0.4</v>
      </c>
      <c r="EC110" s="202">
        <v>0.3</v>
      </c>
      <c r="ED110" s="202">
        <v>0.8</v>
      </c>
      <c r="EE110" s="202">
        <v>0.6</v>
      </c>
      <c r="EF110" s="202">
        <v>0.5</v>
      </c>
      <c r="EG110" s="202">
        <v>0.7</v>
      </c>
      <c r="EH110" s="202">
        <v>1</v>
      </c>
      <c r="EI110" s="202">
        <v>0.8</v>
      </c>
      <c r="EJ110" s="202">
        <v>0.7</v>
      </c>
      <c r="EK110" s="202">
        <v>0.9</v>
      </c>
      <c r="EL110" s="202">
        <v>1.1000000000000001</v>
      </c>
      <c r="EM110" s="202">
        <v>1.4</v>
      </c>
      <c r="EN110" s="202">
        <v>1.6</v>
      </c>
      <c r="EO110" s="202">
        <v>1.4</v>
      </c>
      <c r="EP110" s="202">
        <v>0.1</v>
      </c>
      <c r="EQ110" s="202">
        <v>0.3</v>
      </c>
      <c r="ER110" s="202">
        <v>0.2</v>
      </c>
      <c r="ES110" s="202">
        <v>0.1</v>
      </c>
      <c r="ET110" s="202">
        <v>0</v>
      </c>
      <c r="EU110" s="202">
        <v>0.2</v>
      </c>
      <c r="EV110" s="202">
        <v>0.2</v>
      </c>
      <c r="EW110" s="202">
        <v>0.3</v>
      </c>
      <c r="EX110" s="202">
        <v>0.1</v>
      </c>
      <c r="EY110" s="202">
        <v>0</v>
      </c>
      <c r="EZ110" s="202">
        <v>-0.3</v>
      </c>
      <c r="FA110" s="202">
        <v>0.5</v>
      </c>
      <c r="FB110" s="202">
        <v>1.8</v>
      </c>
      <c r="FC110" s="202">
        <v>1.4</v>
      </c>
      <c r="FD110" s="202">
        <v>1.6</v>
      </c>
      <c r="FE110" s="202">
        <v>1.9</v>
      </c>
      <c r="FF110" s="202">
        <v>2.2000000000000002</v>
      </c>
      <c r="FG110" s="202">
        <v>1.4</v>
      </c>
    </row>
    <row r="111" spans="1:163" ht="14.25" customHeight="1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  <c r="BJ111" s="247"/>
      <c r="BK111" s="247"/>
      <c r="BL111" s="247"/>
      <c r="BM111" s="247"/>
      <c r="BN111" s="247"/>
      <c r="BO111" s="247"/>
      <c r="BP111" s="247"/>
      <c r="BQ111" s="247"/>
      <c r="BR111" s="247"/>
      <c r="BS111" s="247"/>
      <c r="BT111" s="247"/>
      <c r="BU111" s="247"/>
      <c r="BV111" s="247"/>
      <c r="BW111" s="247"/>
      <c r="BX111" s="247"/>
      <c r="BY111" s="247"/>
      <c r="BZ111" s="247"/>
      <c r="CA111" s="247"/>
      <c r="CB111" s="247"/>
      <c r="CC111" s="247"/>
      <c r="CD111" s="247"/>
      <c r="CE111" s="247"/>
      <c r="CF111" s="247"/>
      <c r="CG111" s="247"/>
      <c r="CH111" s="247"/>
      <c r="CI111" s="247"/>
      <c r="CJ111" s="247"/>
      <c r="CK111" s="247"/>
      <c r="CL111" s="247"/>
      <c r="CM111" s="247"/>
      <c r="CN111" s="247"/>
      <c r="CO111" s="247"/>
      <c r="CP111" s="247"/>
      <c r="CQ111" s="247"/>
      <c r="CR111" s="247"/>
      <c r="CS111" s="247"/>
      <c r="CT111" s="247"/>
      <c r="CU111" s="247"/>
      <c r="CV111" s="247"/>
      <c r="CW111" s="247"/>
      <c r="CX111" s="247"/>
      <c r="CY111" s="247"/>
      <c r="CZ111" s="247"/>
      <c r="DA111" s="247"/>
      <c r="DB111" s="247"/>
      <c r="DC111" s="247"/>
      <c r="DD111" s="247"/>
      <c r="DE111" s="247"/>
      <c r="DF111" s="247"/>
      <c r="DG111" s="247"/>
      <c r="DH111" s="247"/>
      <c r="DI111" s="247"/>
      <c r="DJ111" s="247"/>
      <c r="DK111" s="247"/>
      <c r="DL111" s="247"/>
      <c r="DM111" s="247"/>
      <c r="DN111" s="247"/>
      <c r="DO111" s="247"/>
      <c r="DP111" s="247"/>
      <c r="DQ111" s="247"/>
      <c r="DR111" s="247"/>
      <c r="DS111" s="247"/>
      <c r="DT111" s="247"/>
      <c r="DU111" s="247"/>
      <c r="DV111" s="247"/>
      <c r="DW111" s="247"/>
      <c r="DX111" s="247"/>
      <c r="DY111" s="247"/>
      <c r="DZ111" s="247"/>
      <c r="EA111" s="247"/>
      <c r="EB111" s="247"/>
      <c r="EC111" s="247"/>
      <c r="ED111" s="247"/>
      <c r="EE111" s="247"/>
      <c r="EF111" s="247"/>
      <c r="EG111" s="247"/>
      <c r="EH111" s="247"/>
      <c r="EI111" s="247"/>
      <c r="EJ111" s="247"/>
      <c r="EK111" s="247"/>
      <c r="EL111" s="247"/>
      <c r="EM111" s="247"/>
      <c r="EN111" s="247"/>
      <c r="EO111" s="247"/>
      <c r="EP111" s="247"/>
      <c r="EQ111" s="247"/>
      <c r="ER111" s="247"/>
      <c r="ES111" s="247"/>
      <c r="ET111" s="247"/>
      <c r="EU111" s="247"/>
      <c r="EV111" s="247"/>
      <c r="EW111" s="247"/>
      <c r="EX111" s="247"/>
      <c r="EY111" s="247"/>
      <c r="EZ111" s="247"/>
      <c r="FA111" s="247"/>
      <c r="FB111" s="247"/>
      <c r="FC111" s="247"/>
      <c r="FD111" s="247"/>
      <c r="FE111" s="247"/>
      <c r="FF111" s="247"/>
      <c r="FG111" s="247"/>
    </row>
    <row r="112" spans="1:163" ht="14.25" customHeight="1">
      <c r="A112" s="274" t="s">
        <v>913</v>
      </c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  <c r="BJ112" s="247"/>
      <c r="BK112" s="247"/>
      <c r="BL112" s="247"/>
      <c r="BM112" s="247"/>
      <c r="BN112" s="247"/>
      <c r="BO112" s="247"/>
      <c r="BP112" s="247"/>
      <c r="BQ112" s="247"/>
      <c r="BR112" s="247"/>
      <c r="BS112" s="247"/>
      <c r="BT112" s="247"/>
      <c r="BU112" s="247"/>
      <c r="BV112" s="247"/>
      <c r="BW112" s="247"/>
      <c r="BX112" s="247"/>
      <c r="BY112" s="247"/>
      <c r="BZ112" s="247"/>
      <c r="CA112" s="247"/>
      <c r="CB112" s="247"/>
      <c r="CC112" s="247"/>
      <c r="CD112" s="247"/>
      <c r="CE112" s="247"/>
      <c r="CF112" s="247"/>
      <c r="CG112" s="247"/>
      <c r="CH112" s="247"/>
      <c r="CI112" s="247"/>
      <c r="CJ112" s="247"/>
      <c r="CK112" s="247"/>
      <c r="CL112" s="247"/>
      <c r="CM112" s="247"/>
      <c r="CN112" s="247"/>
      <c r="CO112" s="247"/>
      <c r="CP112" s="247"/>
      <c r="CQ112" s="247"/>
      <c r="CR112" s="247"/>
      <c r="CS112" s="247"/>
      <c r="CT112" s="247"/>
      <c r="CU112" s="247"/>
      <c r="CV112" s="247"/>
      <c r="CW112" s="247"/>
      <c r="CX112" s="247"/>
      <c r="CY112" s="247"/>
      <c r="CZ112" s="247"/>
      <c r="DA112" s="247"/>
      <c r="DB112" s="247"/>
      <c r="DC112" s="247"/>
      <c r="DD112" s="247"/>
      <c r="DE112" s="247"/>
      <c r="DF112" s="247"/>
      <c r="DG112" s="247"/>
      <c r="DH112" s="247"/>
      <c r="DI112" s="247"/>
      <c r="DJ112" s="247"/>
      <c r="DK112" s="247"/>
      <c r="DL112" s="247"/>
      <c r="DM112" s="247"/>
      <c r="DN112" s="247"/>
      <c r="DO112" s="247"/>
      <c r="DP112" s="247"/>
      <c r="DQ112" s="247"/>
      <c r="DR112" s="247"/>
      <c r="DS112" s="247"/>
      <c r="DT112" s="247"/>
      <c r="DU112" s="247"/>
      <c r="DV112" s="247"/>
      <c r="DW112" s="247"/>
      <c r="DX112" s="247"/>
      <c r="DY112" s="247"/>
      <c r="DZ112" s="247"/>
      <c r="EA112" s="247"/>
      <c r="EB112" s="247"/>
      <c r="EC112" s="247"/>
      <c r="ED112" s="247"/>
      <c r="EE112" s="247"/>
      <c r="EF112" s="247"/>
      <c r="EG112" s="247"/>
      <c r="EH112" s="247"/>
      <c r="EI112" s="247"/>
      <c r="EJ112" s="247"/>
      <c r="EK112" s="247"/>
      <c r="EL112" s="247"/>
      <c r="EM112" s="247"/>
      <c r="EN112" s="247"/>
      <c r="EO112" s="247"/>
      <c r="EP112" s="247"/>
      <c r="EQ112" s="247"/>
      <c r="ER112" s="247"/>
      <c r="ES112" s="247"/>
      <c r="ET112" s="247"/>
      <c r="EU112" s="247"/>
      <c r="EV112" s="247"/>
      <c r="EW112" s="247"/>
      <c r="EX112" s="247"/>
      <c r="EY112" s="247"/>
      <c r="EZ112" s="247"/>
      <c r="FA112" s="247"/>
      <c r="FB112" s="247"/>
      <c r="FC112" s="247"/>
      <c r="FD112" s="247"/>
      <c r="FE112" s="247"/>
      <c r="FF112" s="247"/>
      <c r="FG112" s="247"/>
    </row>
    <row r="113" spans="1:163" ht="14.25" customHeight="1">
      <c r="A113" s="274" t="s">
        <v>914</v>
      </c>
      <c r="B113" s="274" t="s">
        <v>915</v>
      </c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 t="s">
        <v>916</v>
      </c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  <c r="BJ113" s="247"/>
      <c r="BK113" s="247"/>
      <c r="BL113" s="247"/>
      <c r="BM113" s="247"/>
      <c r="BN113" s="247"/>
      <c r="BO113" s="247"/>
      <c r="BP113" s="247"/>
      <c r="BQ113" s="247"/>
      <c r="BR113" s="247"/>
      <c r="BS113" s="247"/>
      <c r="BT113" s="247"/>
      <c r="BU113" s="247"/>
      <c r="BV113" s="247"/>
      <c r="BW113" s="247"/>
      <c r="BX113" s="247"/>
      <c r="BY113" s="247"/>
      <c r="BZ113" s="247"/>
      <c r="CA113" s="247"/>
      <c r="CB113" s="247"/>
      <c r="CC113" s="247"/>
      <c r="CD113" s="247"/>
      <c r="CE113" s="247"/>
      <c r="CF113" s="247"/>
      <c r="CG113" s="247"/>
      <c r="CH113" s="247"/>
      <c r="CI113" s="247"/>
      <c r="CJ113" s="247"/>
      <c r="CK113" s="247"/>
      <c r="CL113" s="247"/>
      <c r="CM113" s="247"/>
      <c r="CN113" s="247"/>
      <c r="CO113" s="247"/>
      <c r="CP113" s="247"/>
      <c r="CQ113" s="247"/>
      <c r="CR113" s="247"/>
      <c r="CS113" s="247"/>
      <c r="CT113" s="247"/>
      <c r="CU113" s="247"/>
      <c r="CV113" s="247"/>
      <c r="CW113" s="247"/>
      <c r="CX113" s="247"/>
      <c r="CY113" s="247"/>
      <c r="CZ113" s="247"/>
      <c r="DA113" s="247"/>
      <c r="DB113" s="247"/>
      <c r="DC113" s="247"/>
      <c r="DD113" s="247"/>
      <c r="DE113" s="247"/>
      <c r="DF113" s="247"/>
      <c r="DG113" s="247"/>
      <c r="DH113" s="247"/>
      <c r="DI113" s="247"/>
      <c r="DJ113" s="247"/>
      <c r="DK113" s="247"/>
      <c r="DL113" s="247"/>
      <c r="DM113" s="247"/>
      <c r="DN113" s="247"/>
      <c r="DO113" s="247"/>
      <c r="DP113" s="247"/>
      <c r="DQ113" s="247"/>
      <c r="DR113" s="247"/>
      <c r="DS113" s="247"/>
      <c r="DT113" s="247"/>
      <c r="DU113" s="247"/>
      <c r="DV113" s="247"/>
      <c r="DW113" s="247"/>
      <c r="DX113" s="247"/>
      <c r="DY113" s="247"/>
      <c r="DZ113" s="247"/>
      <c r="EA113" s="247"/>
      <c r="EB113" s="247"/>
      <c r="EC113" s="247"/>
      <c r="ED113" s="247"/>
      <c r="EE113" s="247"/>
      <c r="EF113" s="247"/>
      <c r="EG113" s="247"/>
      <c r="EH113" s="247"/>
      <c r="EI113" s="247"/>
      <c r="EJ113" s="247"/>
      <c r="EK113" s="247"/>
      <c r="EL113" s="247"/>
      <c r="EM113" s="247"/>
      <c r="EN113" s="247"/>
      <c r="EO113" s="247"/>
      <c r="EP113" s="247"/>
      <c r="EQ113" s="247"/>
      <c r="ER113" s="247"/>
      <c r="ES113" s="247"/>
      <c r="ET113" s="247"/>
      <c r="EU113" s="247"/>
      <c r="EV113" s="247"/>
      <c r="EW113" s="247"/>
      <c r="EX113" s="247"/>
      <c r="EY113" s="247"/>
      <c r="EZ113" s="247"/>
      <c r="FA113" s="247"/>
      <c r="FB113" s="247"/>
      <c r="FC113" s="247"/>
      <c r="FD113" s="247"/>
      <c r="FE113" s="247"/>
      <c r="FF113" s="247"/>
      <c r="FG113" s="247"/>
    </row>
    <row r="114" spans="1:163" ht="14.25" customHeight="1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190" t="s">
        <v>917</v>
      </c>
      <c r="M114" s="187" t="s">
        <v>918</v>
      </c>
      <c r="N114" s="187" t="s">
        <v>919</v>
      </c>
      <c r="O114" s="187" t="s">
        <v>920</v>
      </c>
      <c r="P114" s="187" t="s">
        <v>921</v>
      </c>
      <c r="Q114" s="187" t="s">
        <v>922</v>
      </c>
      <c r="R114" s="187" t="s">
        <v>923</v>
      </c>
      <c r="S114" s="187" t="s">
        <v>924</v>
      </c>
      <c r="T114" s="187" t="s">
        <v>925</v>
      </c>
      <c r="U114" s="187" t="s">
        <v>926</v>
      </c>
      <c r="V114" s="187" t="s">
        <v>927</v>
      </c>
      <c r="W114" s="247" t="s">
        <v>928</v>
      </c>
      <c r="X114" s="247" t="s">
        <v>929</v>
      </c>
      <c r="Y114" s="247" t="s">
        <v>825</v>
      </c>
      <c r="Z114" s="247" t="s">
        <v>826</v>
      </c>
      <c r="AA114" s="247" t="s">
        <v>930</v>
      </c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  <c r="BJ114" s="247"/>
      <c r="BK114" s="247"/>
      <c r="BL114" s="247"/>
      <c r="BM114" s="247"/>
      <c r="BN114" s="247"/>
      <c r="BO114" s="247"/>
      <c r="BP114" s="247"/>
      <c r="BQ114" s="247"/>
      <c r="BR114" s="247"/>
      <c r="BS114" s="247"/>
      <c r="BT114" s="247"/>
      <c r="BU114" s="247"/>
      <c r="BV114" s="247"/>
      <c r="BW114" s="247"/>
      <c r="BX114" s="247"/>
      <c r="BY114" s="247"/>
      <c r="BZ114" s="247"/>
      <c r="CA114" s="247"/>
      <c r="CB114" s="247"/>
      <c r="CC114" s="247"/>
      <c r="CD114" s="247"/>
      <c r="CE114" s="247"/>
      <c r="CF114" s="247"/>
      <c r="CG114" s="247"/>
      <c r="CH114" s="247"/>
      <c r="CI114" s="247"/>
      <c r="CJ114" s="247"/>
      <c r="CK114" s="247"/>
      <c r="CL114" s="247"/>
      <c r="CM114" s="247"/>
      <c r="CN114" s="247"/>
      <c r="CO114" s="247"/>
      <c r="CP114" s="247"/>
      <c r="CQ114" s="247"/>
      <c r="CR114" s="247"/>
      <c r="CS114" s="247"/>
      <c r="CT114" s="247"/>
      <c r="CU114" s="247"/>
      <c r="CV114" s="247"/>
      <c r="CW114" s="247"/>
      <c r="CX114" s="247"/>
      <c r="CY114" s="247"/>
      <c r="CZ114" s="247"/>
      <c r="DA114" s="247"/>
      <c r="DB114" s="247"/>
      <c r="DC114" s="247"/>
      <c r="DD114" s="247"/>
      <c r="DE114" s="247"/>
      <c r="DF114" s="247"/>
      <c r="DG114" s="247"/>
      <c r="DH114" s="247"/>
      <c r="DI114" s="247"/>
      <c r="DJ114" s="247"/>
      <c r="DK114" s="247"/>
      <c r="DL114" s="247"/>
      <c r="DM114" s="247"/>
      <c r="DN114" s="247"/>
      <c r="DO114" s="247"/>
      <c r="DP114" s="247"/>
      <c r="DQ114" s="247"/>
      <c r="DR114" s="247"/>
      <c r="DS114" s="247"/>
      <c r="DT114" s="247"/>
      <c r="DU114" s="247"/>
      <c r="DV114" s="247"/>
      <c r="DW114" s="247"/>
      <c r="DX114" s="247"/>
      <c r="DY114" s="247"/>
      <c r="DZ114" s="247"/>
      <c r="EA114" s="247"/>
      <c r="EB114" s="247"/>
      <c r="EC114" s="247"/>
      <c r="ED114" s="247"/>
      <c r="EE114" s="247"/>
      <c r="EF114" s="247"/>
      <c r="EG114" s="247"/>
      <c r="EH114" s="247"/>
      <c r="EI114" s="247"/>
      <c r="EJ114" s="247"/>
      <c r="EK114" s="247"/>
      <c r="EL114" s="247"/>
      <c r="EM114" s="247"/>
      <c r="EN114" s="247"/>
      <c r="EO114" s="247"/>
      <c r="EP114" s="247"/>
      <c r="EQ114" s="247"/>
      <c r="ER114" s="247"/>
      <c r="ES114" s="247"/>
      <c r="ET114" s="247"/>
      <c r="EU114" s="247"/>
      <c r="EV114" s="247"/>
      <c r="EW114" s="247"/>
      <c r="EX114" s="247"/>
      <c r="EY114" s="247"/>
      <c r="EZ114" s="247"/>
      <c r="FA114" s="247"/>
      <c r="FB114" s="247"/>
      <c r="FC114" s="247"/>
      <c r="FD114" s="247"/>
      <c r="FE114" s="247"/>
      <c r="FF114" s="247"/>
      <c r="FG114" s="247"/>
    </row>
    <row r="115" spans="1:163" ht="14.25" customHeight="1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187" t="s">
        <v>840</v>
      </c>
      <c r="M115" s="277">
        <v>1000</v>
      </c>
      <c r="N115" s="277">
        <v>1000</v>
      </c>
      <c r="O115" s="277">
        <v>1000</v>
      </c>
      <c r="P115" s="277">
        <v>1000</v>
      </c>
      <c r="Q115" s="277">
        <v>1000</v>
      </c>
      <c r="R115" s="277">
        <v>1000</v>
      </c>
      <c r="S115" s="277">
        <v>1000</v>
      </c>
      <c r="T115" s="277">
        <v>1000</v>
      </c>
      <c r="U115" s="277">
        <v>1000</v>
      </c>
      <c r="V115" s="277">
        <v>1000</v>
      </c>
      <c r="W115" s="247"/>
      <c r="X115" s="247"/>
      <c r="Y115" s="247"/>
      <c r="Z115" s="247"/>
      <c r="AA115" s="247"/>
      <c r="AB115" s="247"/>
      <c r="AC115" s="247"/>
      <c r="AD115" s="247" t="s">
        <v>929</v>
      </c>
      <c r="AE115" s="247" t="s">
        <v>825</v>
      </c>
      <c r="AF115" s="247" t="s">
        <v>826</v>
      </c>
      <c r="AG115" s="247" t="s">
        <v>930</v>
      </c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  <c r="BJ115" s="247"/>
      <c r="BK115" s="247"/>
      <c r="BL115" s="247"/>
      <c r="BM115" s="247"/>
      <c r="BN115" s="247"/>
      <c r="BO115" s="247"/>
      <c r="BP115" s="247"/>
      <c r="BQ115" s="247"/>
      <c r="BR115" s="247"/>
      <c r="BS115" s="247"/>
      <c r="BT115" s="247"/>
      <c r="BU115" s="247"/>
      <c r="BV115" s="247"/>
      <c r="BW115" s="247"/>
      <c r="BX115" s="247"/>
      <c r="BY115" s="247"/>
      <c r="BZ115" s="247"/>
      <c r="CA115" s="247"/>
      <c r="CB115" s="247"/>
      <c r="CC115" s="247"/>
      <c r="CD115" s="247"/>
      <c r="CE115" s="247"/>
      <c r="CF115" s="247"/>
      <c r="CG115" s="247"/>
      <c r="CH115" s="247"/>
      <c r="CI115" s="247"/>
      <c r="CJ115" s="247"/>
      <c r="CK115" s="247"/>
      <c r="CL115" s="247"/>
      <c r="CM115" s="247"/>
      <c r="CN115" s="247"/>
      <c r="CO115" s="247"/>
      <c r="CP115" s="247"/>
      <c r="CQ115" s="247"/>
      <c r="CR115" s="247"/>
      <c r="CS115" s="247"/>
      <c r="CT115" s="247"/>
      <c r="CU115" s="247"/>
      <c r="CV115" s="247"/>
      <c r="CW115" s="247"/>
      <c r="CX115" s="247"/>
      <c r="CY115" s="247"/>
      <c r="CZ115" s="247"/>
      <c r="DA115" s="247"/>
      <c r="DB115" s="247"/>
      <c r="DC115" s="247"/>
      <c r="DD115" s="247"/>
      <c r="DE115" s="247"/>
      <c r="DF115" s="247"/>
      <c r="DG115" s="247"/>
      <c r="DH115" s="247"/>
      <c r="DI115" s="247"/>
      <c r="DJ115" s="247"/>
      <c r="DK115" s="247"/>
      <c r="DL115" s="247"/>
      <c r="DM115" s="247"/>
      <c r="DN115" s="247"/>
      <c r="DO115" s="247"/>
      <c r="DP115" s="247"/>
      <c r="DQ115" s="247"/>
      <c r="DR115" s="247"/>
      <c r="DS115" s="247"/>
      <c r="DT115" s="247"/>
      <c r="DU115" s="247"/>
      <c r="DV115" s="247"/>
      <c r="DW115" s="247"/>
      <c r="DX115" s="247"/>
      <c r="DY115" s="247"/>
      <c r="DZ115" s="247"/>
      <c r="EA115" s="247"/>
      <c r="EB115" s="247"/>
      <c r="EC115" s="247"/>
      <c r="ED115" s="247"/>
      <c r="EE115" s="247"/>
      <c r="EF115" s="247"/>
      <c r="EG115" s="247"/>
      <c r="EH115" s="247"/>
      <c r="EI115" s="247"/>
      <c r="EJ115" s="247"/>
      <c r="EK115" s="247"/>
      <c r="EL115" s="247"/>
      <c r="EM115" s="247"/>
      <c r="EN115" s="247"/>
      <c r="EO115" s="247"/>
      <c r="EP115" s="247"/>
      <c r="EQ115" s="247"/>
      <c r="ER115" s="247"/>
      <c r="ES115" s="247"/>
      <c r="ET115" s="247"/>
      <c r="EU115" s="247"/>
      <c r="EV115" s="247"/>
      <c r="EW115" s="247"/>
      <c r="EX115" s="247"/>
      <c r="EY115" s="247"/>
      <c r="EZ115" s="247"/>
      <c r="FA115" s="247"/>
      <c r="FB115" s="247"/>
      <c r="FC115" s="247"/>
      <c r="FD115" s="247"/>
      <c r="FE115" s="247"/>
      <c r="FF115" s="247"/>
      <c r="FG115" s="247"/>
    </row>
    <row r="116" spans="1:163" ht="14.25" customHeight="1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187" t="s">
        <v>849</v>
      </c>
      <c r="M116" s="277">
        <v>276.11</v>
      </c>
      <c r="N116" s="277">
        <v>252.43</v>
      </c>
      <c r="O116" s="277">
        <v>236.2</v>
      </c>
      <c r="P116" s="277">
        <v>228.75</v>
      </c>
      <c r="Q116" s="277">
        <v>211.36</v>
      </c>
      <c r="R116" s="277">
        <v>219.01</v>
      </c>
      <c r="S116" s="277">
        <v>207.99</v>
      </c>
      <c r="T116" s="277">
        <v>206.29</v>
      </c>
      <c r="U116" s="277">
        <v>205.35</v>
      </c>
      <c r="V116" s="277">
        <v>204</v>
      </c>
      <c r="W116" s="278">
        <f t="shared" ref="W116:W127" si="8">V116/1000</f>
        <v>0.20399999999999999</v>
      </c>
      <c r="X116" s="249">
        <f t="shared" ref="X116:Z116" si="9">A99</f>
        <v>-2</v>
      </c>
      <c r="Y116" s="249">
        <f t="shared" si="9"/>
        <v>9.6500000000000021</v>
      </c>
      <c r="Z116" s="249">
        <f t="shared" si="9"/>
        <v>1.7333333333333327</v>
      </c>
      <c r="AA116" s="249">
        <f t="shared" ref="AA116:AA127" si="10">Z116-Y116</f>
        <v>-7.9166666666666696</v>
      </c>
      <c r="AB116" s="247"/>
      <c r="AC116" s="247"/>
      <c r="AD116" s="279">
        <f t="shared" ref="AD116:AG116" si="11">SUMPRODUCT($W$116:$W$127,X116:X127)</f>
        <v>-0.82675099999999957</v>
      </c>
      <c r="AE116" s="279">
        <f t="shared" si="11"/>
        <v>5.4628502499999998</v>
      </c>
      <c r="AF116" s="279">
        <f t="shared" si="11"/>
        <v>2.861543666666666</v>
      </c>
      <c r="AG116" s="279">
        <f t="shared" si="11"/>
        <v>-2.6013065833333342</v>
      </c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  <c r="BJ116" s="247"/>
      <c r="BK116" s="247"/>
      <c r="BL116" s="247"/>
      <c r="BM116" s="247"/>
      <c r="BN116" s="247"/>
      <c r="BO116" s="247"/>
      <c r="BP116" s="247"/>
      <c r="BQ116" s="247"/>
      <c r="BR116" s="247"/>
      <c r="BS116" s="247"/>
      <c r="BT116" s="247"/>
      <c r="BU116" s="247"/>
      <c r="BV116" s="247"/>
      <c r="BW116" s="247"/>
      <c r="BX116" s="247"/>
      <c r="BY116" s="247"/>
      <c r="BZ116" s="247"/>
      <c r="CA116" s="247"/>
      <c r="CB116" s="247"/>
      <c r="CC116" s="247"/>
      <c r="CD116" s="247"/>
      <c r="CE116" s="247"/>
      <c r="CF116" s="247"/>
      <c r="CG116" s="247"/>
      <c r="CH116" s="247"/>
      <c r="CI116" s="247"/>
      <c r="CJ116" s="247"/>
      <c r="CK116" s="247"/>
      <c r="CL116" s="247"/>
      <c r="CM116" s="247"/>
      <c r="CN116" s="247"/>
      <c r="CO116" s="247"/>
      <c r="CP116" s="247"/>
      <c r="CQ116" s="247"/>
      <c r="CR116" s="247"/>
      <c r="CS116" s="247"/>
      <c r="CT116" s="247"/>
      <c r="CU116" s="247"/>
      <c r="CV116" s="247"/>
      <c r="CW116" s="247"/>
      <c r="CX116" s="247"/>
      <c r="CY116" s="247"/>
      <c r="CZ116" s="247"/>
      <c r="DA116" s="247"/>
      <c r="DB116" s="247"/>
      <c r="DC116" s="247"/>
      <c r="DD116" s="247"/>
      <c r="DE116" s="247"/>
      <c r="DF116" s="247"/>
      <c r="DG116" s="247"/>
      <c r="DH116" s="247"/>
      <c r="DI116" s="247"/>
      <c r="DJ116" s="247"/>
      <c r="DK116" s="247"/>
      <c r="DL116" s="247"/>
      <c r="DM116" s="247"/>
      <c r="DN116" s="247"/>
      <c r="DO116" s="247"/>
      <c r="DP116" s="247"/>
      <c r="DQ116" s="247"/>
      <c r="DR116" s="247"/>
      <c r="DS116" s="247"/>
      <c r="DT116" s="247"/>
      <c r="DU116" s="247"/>
      <c r="DV116" s="247"/>
      <c r="DW116" s="247"/>
      <c r="DX116" s="247"/>
      <c r="DY116" s="247"/>
      <c r="DZ116" s="247"/>
      <c r="EA116" s="247"/>
      <c r="EB116" s="247"/>
      <c r="EC116" s="247"/>
      <c r="ED116" s="247"/>
      <c r="EE116" s="247"/>
      <c r="EF116" s="247"/>
      <c r="EG116" s="247"/>
      <c r="EH116" s="247"/>
      <c r="EI116" s="247"/>
      <c r="EJ116" s="247"/>
      <c r="EK116" s="247"/>
      <c r="EL116" s="247"/>
      <c r="EM116" s="247"/>
      <c r="EN116" s="247"/>
      <c r="EO116" s="247"/>
      <c r="EP116" s="247"/>
      <c r="EQ116" s="247"/>
      <c r="ER116" s="247"/>
      <c r="ES116" s="247"/>
      <c r="ET116" s="247"/>
      <c r="EU116" s="247"/>
      <c r="EV116" s="247"/>
      <c r="EW116" s="247"/>
      <c r="EX116" s="247"/>
      <c r="EY116" s="247"/>
      <c r="EZ116" s="247"/>
      <c r="FA116" s="247"/>
      <c r="FB116" s="247"/>
      <c r="FC116" s="247"/>
      <c r="FD116" s="247"/>
      <c r="FE116" s="247"/>
      <c r="FF116" s="247"/>
      <c r="FG116" s="247"/>
    </row>
    <row r="117" spans="1:163" ht="14.25" customHeight="1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187" t="s">
        <v>857</v>
      </c>
      <c r="M117" s="277">
        <v>66.97</v>
      </c>
      <c r="N117" s="277">
        <v>74.78</v>
      </c>
      <c r="O117" s="277">
        <v>68.099999999999994</v>
      </c>
      <c r="P117" s="277">
        <v>74.95</v>
      </c>
      <c r="Q117" s="277">
        <v>67.89</v>
      </c>
      <c r="R117" s="277">
        <v>63.76</v>
      </c>
      <c r="S117" s="277">
        <v>65.88</v>
      </c>
      <c r="T117" s="277">
        <v>67.83</v>
      </c>
      <c r="U117" s="277">
        <v>74.48</v>
      </c>
      <c r="V117" s="277">
        <v>70.52</v>
      </c>
      <c r="W117" s="278">
        <f t="shared" si="8"/>
        <v>7.0519999999999999E-2</v>
      </c>
      <c r="X117" s="249">
        <f t="shared" ref="X117:Z117" si="12">A100</f>
        <v>2.2000000000000002</v>
      </c>
      <c r="Y117" s="249">
        <f t="shared" si="12"/>
        <v>4.9999999999999991</v>
      </c>
      <c r="Z117" s="249">
        <f t="shared" si="12"/>
        <v>11.808333333333335</v>
      </c>
      <c r="AA117" s="249">
        <f t="shared" si="10"/>
        <v>6.8083333333333362</v>
      </c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  <c r="BJ117" s="247"/>
      <c r="BK117" s="247"/>
      <c r="BL117" s="247"/>
      <c r="BM117" s="247"/>
      <c r="BN117" s="247"/>
      <c r="BO117" s="247"/>
      <c r="BP117" s="247"/>
      <c r="BQ117" s="247"/>
      <c r="BR117" s="247"/>
      <c r="BS117" s="247"/>
      <c r="BT117" s="247"/>
      <c r="BU117" s="247"/>
      <c r="BV117" s="247"/>
      <c r="BW117" s="247"/>
      <c r="BX117" s="247"/>
      <c r="BY117" s="247"/>
      <c r="BZ117" s="247"/>
      <c r="CA117" s="247"/>
      <c r="CB117" s="247"/>
      <c r="CC117" s="247"/>
      <c r="CD117" s="247"/>
      <c r="CE117" s="247"/>
      <c r="CF117" s="247"/>
      <c r="CG117" s="247"/>
      <c r="CH117" s="247"/>
      <c r="CI117" s="247"/>
      <c r="CJ117" s="247"/>
      <c r="CK117" s="247"/>
      <c r="CL117" s="247"/>
      <c r="CM117" s="247"/>
      <c r="CN117" s="247"/>
      <c r="CO117" s="247"/>
      <c r="CP117" s="247"/>
      <c r="CQ117" s="247"/>
      <c r="CR117" s="247"/>
      <c r="CS117" s="247"/>
      <c r="CT117" s="247"/>
      <c r="CU117" s="247"/>
      <c r="CV117" s="247"/>
      <c r="CW117" s="247"/>
      <c r="CX117" s="247"/>
      <c r="CY117" s="247"/>
      <c r="CZ117" s="247"/>
      <c r="DA117" s="247"/>
      <c r="DB117" s="247"/>
      <c r="DC117" s="247"/>
      <c r="DD117" s="247"/>
      <c r="DE117" s="247"/>
      <c r="DF117" s="247"/>
      <c r="DG117" s="247"/>
      <c r="DH117" s="247"/>
      <c r="DI117" s="247"/>
      <c r="DJ117" s="247"/>
      <c r="DK117" s="247"/>
      <c r="DL117" s="247"/>
      <c r="DM117" s="247"/>
      <c r="DN117" s="247"/>
      <c r="DO117" s="247"/>
      <c r="DP117" s="247"/>
      <c r="DQ117" s="247"/>
      <c r="DR117" s="247"/>
      <c r="DS117" s="247"/>
      <c r="DT117" s="247"/>
      <c r="DU117" s="247"/>
      <c r="DV117" s="247"/>
      <c r="DW117" s="247"/>
      <c r="DX117" s="247"/>
      <c r="DY117" s="247"/>
      <c r="DZ117" s="247"/>
      <c r="EA117" s="247"/>
      <c r="EB117" s="247"/>
      <c r="EC117" s="247"/>
      <c r="ED117" s="247"/>
      <c r="EE117" s="247"/>
      <c r="EF117" s="247"/>
      <c r="EG117" s="247"/>
      <c r="EH117" s="247"/>
      <c r="EI117" s="247"/>
      <c r="EJ117" s="247"/>
      <c r="EK117" s="247"/>
      <c r="EL117" s="247"/>
      <c r="EM117" s="247"/>
      <c r="EN117" s="247"/>
      <c r="EO117" s="247"/>
      <c r="EP117" s="247"/>
      <c r="EQ117" s="247"/>
      <c r="ER117" s="247"/>
      <c r="ES117" s="247"/>
      <c r="ET117" s="247"/>
      <c r="EU117" s="247"/>
      <c r="EV117" s="247"/>
      <c r="EW117" s="247"/>
      <c r="EX117" s="247"/>
      <c r="EY117" s="247"/>
      <c r="EZ117" s="247"/>
      <c r="FA117" s="247"/>
      <c r="FB117" s="247"/>
      <c r="FC117" s="247"/>
      <c r="FD117" s="247"/>
      <c r="FE117" s="247"/>
      <c r="FF117" s="247"/>
      <c r="FG117" s="247"/>
    </row>
    <row r="118" spans="1:163" ht="14.25" customHeight="1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187" t="s">
        <v>868</v>
      </c>
      <c r="M118" s="277">
        <v>69.14</v>
      </c>
      <c r="N118" s="277">
        <v>50.33</v>
      </c>
      <c r="O118" s="277">
        <v>48.3</v>
      </c>
      <c r="P118" s="277">
        <v>43.58</v>
      </c>
      <c r="Q118" s="277">
        <v>49.03</v>
      </c>
      <c r="R118" s="277">
        <v>50.88</v>
      </c>
      <c r="S118" s="277">
        <v>47.06</v>
      </c>
      <c r="T118" s="277">
        <v>49.43</v>
      </c>
      <c r="U118" s="277">
        <v>46.27</v>
      </c>
      <c r="V118" s="277">
        <v>46.76</v>
      </c>
      <c r="W118" s="278">
        <f t="shared" si="8"/>
        <v>4.6759999999999996E-2</v>
      </c>
      <c r="X118" s="249">
        <f t="shared" ref="X118:Z118" si="13">A101</f>
        <v>-4.4000000000000004</v>
      </c>
      <c r="Y118" s="249">
        <f t="shared" si="13"/>
        <v>2.7416666666666667</v>
      </c>
      <c r="Z118" s="249">
        <f t="shared" si="13"/>
        <v>-0.13333333333333339</v>
      </c>
      <c r="AA118" s="249">
        <f t="shared" si="10"/>
        <v>-2.875</v>
      </c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  <c r="BJ118" s="247"/>
      <c r="BK118" s="247"/>
      <c r="BL118" s="247"/>
      <c r="BM118" s="247"/>
      <c r="BN118" s="247"/>
      <c r="BO118" s="247"/>
      <c r="BP118" s="247"/>
      <c r="BQ118" s="247"/>
      <c r="BR118" s="247"/>
      <c r="BS118" s="247"/>
      <c r="BT118" s="247"/>
      <c r="BU118" s="247"/>
      <c r="BV118" s="247"/>
      <c r="BW118" s="247"/>
      <c r="BX118" s="247"/>
      <c r="BY118" s="247"/>
      <c r="BZ118" s="247"/>
      <c r="CA118" s="247"/>
      <c r="CB118" s="247"/>
      <c r="CC118" s="247"/>
      <c r="CD118" s="247"/>
      <c r="CE118" s="247"/>
      <c r="CF118" s="247"/>
      <c r="CG118" s="247"/>
      <c r="CH118" s="247"/>
      <c r="CI118" s="247"/>
      <c r="CJ118" s="247"/>
      <c r="CK118" s="247"/>
      <c r="CL118" s="247"/>
      <c r="CM118" s="247"/>
      <c r="CN118" s="247"/>
      <c r="CO118" s="247"/>
      <c r="CP118" s="247"/>
      <c r="CQ118" s="247"/>
      <c r="CR118" s="247"/>
      <c r="CS118" s="247"/>
      <c r="CT118" s="247"/>
      <c r="CU118" s="247"/>
      <c r="CV118" s="247"/>
      <c r="CW118" s="247"/>
      <c r="CX118" s="247"/>
      <c r="CY118" s="247"/>
      <c r="CZ118" s="247"/>
      <c r="DA118" s="247"/>
      <c r="DB118" s="247"/>
      <c r="DC118" s="247"/>
      <c r="DD118" s="247"/>
      <c r="DE118" s="247"/>
      <c r="DF118" s="247"/>
      <c r="DG118" s="247"/>
      <c r="DH118" s="247"/>
      <c r="DI118" s="247"/>
      <c r="DJ118" s="247"/>
      <c r="DK118" s="247"/>
      <c r="DL118" s="247"/>
      <c r="DM118" s="247"/>
      <c r="DN118" s="247"/>
      <c r="DO118" s="247"/>
      <c r="DP118" s="247"/>
      <c r="DQ118" s="247"/>
      <c r="DR118" s="247"/>
      <c r="DS118" s="247"/>
      <c r="DT118" s="247"/>
      <c r="DU118" s="247"/>
      <c r="DV118" s="247"/>
      <c r="DW118" s="247"/>
      <c r="DX118" s="247"/>
      <c r="DY118" s="247"/>
      <c r="DZ118" s="247"/>
      <c r="EA118" s="247"/>
      <c r="EB118" s="247"/>
      <c r="EC118" s="247"/>
      <c r="ED118" s="247"/>
      <c r="EE118" s="247"/>
      <c r="EF118" s="247"/>
      <c r="EG118" s="247"/>
      <c r="EH118" s="247"/>
      <c r="EI118" s="247"/>
      <c r="EJ118" s="247"/>
      <c r="EK118" s="247"/>
      <c r="EL118" s="247"/>
      <c r="EM118" s="247"/>
      <c r="EN118" s="247"/>
      <c r="EO118" s="247"/>
      <c r="EP118" s="247"/>
      <c r="EQ118" s="247"/>
      <c r="ER118" s="247"/>
      <c r="ES118" s="247"/>
      <c r="ET118" s="247"/>
      <c r="EU118" s="247"/>
      <c r="EV118" s="247"/>
      <c r="EW118" s="247"/>
      <c r="EX118" s="247"/>
      <c r="EY118" s="247"/>
      <c r="EZ118" s="247"/>
      <c r="FA118" s="247"/>
      <c r="FB118" s="247"/>
      <c r="FC118" s="247"/>
      <c r="FD118" s="247"/>
      <c r="FE118" s="247"/>
      <c r="FF118" s="247"/>
      <c r="FG118" s="247"/>
    </row>
    <row r="119" spans="1:163" ht="14.25" customHeight="1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187" t="s">
        <v>877</v>
      </c>
      <c r="M119" s="277">
        <v>135.30000000000001</v>
      </c>
      <c r="N119" s="277">
        <v>132.09</v>
      </c>
      <c r="O119" s="277">
        <v>139.37</v>
      </c>
      <c r="P119" s="277">
        <v>145.57</v>
      </c>
      <c r="Q119" s="277">
        <v>139.79</v>
      </c>
      <c r="R119" s="277">
        <v>115.94</v>
      </c>
      <c r="S119" s="277">
        <v>117.89</v>
      </c>
      <c r="T119" s="277">
        <v>115.85</v>
      </c>
      <c r="U119" s="277">
        <v>115.98</v>
      </c>
      <c r="V119" s="277">
        <v>121.43</v>
      </c>
      <c r="W119" s="278">
        <f t="shared" si="8"/>
        <v>0.12143000000000001</v>
      </c>
      <c r="X119" s="249">
        <f t="shared" ref="X119:Z119" si="14">A102</f>
        <v>2.2000000000000002</v>
      </c>
      <c r="Y119" s="249">
        <f t="shared" si="14"/>
        <v>6.7666666666666666</v>
      </c>
      <c r="Z119" s="249">
        <f t="shared" si="14"/>
        <v>4.8583333333333334</v>
      </c>
      <c r="AA119" s="249">
        <f t="shared" si="10"/>
        <v>-1.9083333333333332</v>
      </c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  <c r="BJ119" s="247"/>
      <c r="BK119" s="247"/>
      <c r="BL119" s="247"/>
      <c r="BM119" s="247"/>
      <c r="BN119" s="247"/>
      <c r="BO119" s="247"/>
      <c r="BP119" s="247"/>
      <c r="BQ119" s="247"/>
      <c r="BR119" s="247"/>
      <c r="BS119" s="247"/>
      <c r="BT119" s="247"/>
      <c r="BU119" s="247"/>
      <c r="BV119" s="247"/>
      <c r="BW119" s="247"/>
      <c r="BX119" s="247"/>
      <c r="BY119" s="247"/>
      <c r="BZ119" s="247"/>
      <c r="CA119" s="247"/>
      <c r="CB119" s="247"/>
      <c r="CC119" s="247"/>
      <c r="CD119" s="247"/>
      <c r="CE119" s="247"/>
      <c r="CF119" s="247"/>
      <c r="CG119" s="247"/>
      <c r="CH119" s="247"/>
      <c r="CI119" s="247"/>
      <c r="CJ119" s="247"/>
      <c r="CK119" s="247"/>
      <c r="CL119" s="247"/>
      <c r="CM119" s="247"/>
      <c r="CN119" s="247"/>
      <c r="CO119" s="247"/>
      <c r="CP119" s="247"/>
      <c r="CQ119" s="247"/>
      <c r="CR119" s="247"/>
      <c r="CS119" s="247"/>
      <c r="CT119" s="247"/>
      <c r="CU119" s="247"/>
      <c r="CV119" s="247"/>
      <c r="CW119" s="247"/>
      <c r="CX119" s="247"/>
      <c r="CY119" s="247"/>
      <c r="CZ119" s="247"/>
      <c r="DA119" s="247"/>
      <c r="DB119" s="247"/>
      <c r="DC119" s="247"/>
      <c r="DD119" s="247"/>
      <c r="DE119" s="247"/>
      <c r="DF119" s="247"/>
      <c r="DG119" s="247"/>
      <c r="DH119" s="247"/>
      <c r="DI119" s="247"/>
      <c r="DJ119" s="247"/>
      <c r="DK119" s="247"/>
      <c r="DL119" s="247"/>
      <c r="DM119" s="247"/>
      <c r="DN119" s="247"/>
      <c r="DO119" s="247"/>
      <c r="DP119" s="247"/>
      <c r="DQ119" s="247"/>
      <c r="DR119" s="247"/>
      <c r="DS119" s="247"/>
      <c r="DT119" s="247"/>
      <c r="DU119" s="247"/>
      <c r="DV119" s="247"/>
      <c r="DW119" s="247"/>
      <c r="DX119" s="247"/>
      <c r="DY119" s="247"/>
      <c r="DZ119" s="247"/>
      <c r="EA119" s="247"/>
      <c r="EB119" s="247"/>
      <c r="EC119" s="247"/>
      <c r="ED119" s="247"/>
      <c r="EE119" s="247"/>
      <c r="EF119" s="247"/>
      <c r="EG119" s="247"/>
      <c r="EH119" s="247"/>
      <c r="EI119" s="247"/>
      <c r="EJ119" s="247"/>
      <c r="EK119" s="247"/>
      <c r="EL119" s="247"/>
      <c r="EM119" s="247"/>
      <c r="EN119" s="247"/>
      <c r="EO119" s="247"/>
      <c r="EP119" s="247"/>
      <c r="EQ119" s="247"/>
      <c r="ER119" s="247"/>
      <c r="ES119" s="247"/>
      <c r="ET119" s="247"/>
      <c r="EU119" s="247"/>
      <c r="EV119" s="247"/>
      <c r="EW119" s="247"/>
      <c r="EX119" s="247"/>
      <c r="EY119" s="247"/>
      <c r="EZ119" s="247"/>
      <c r="FA119" s="247"/>
      <c r="FB119" s="247"/>
      <c r="FC119" s="247"/>
      <c r="FD119" s="247"/>
      <c r="FE119" s="247"/>
      <c r="FF119" s="247"/>
      <c r="FG119" s="247"/>
    </row>
    <row r="120" spans="1:163" ht="14.25" customHeight="1">
      <c r="A120" s="247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187" t="s">
        <v>905</v>
      </c>
      <c r="M120" s="277">
        <v>59.1</v>
      </c>
      <c r="N120" s="277">
        <v>63.46</v>
      </c>
      <c r="O120" s="277">
        <v>54.04</v>
      </c>
      <c r="P120" s="277">
        <v>54.2</v>
      </c>
      <c r="Q120" s="277">
        <v>56.85</v>
      </c>
      <c r="R120" s="277">
        <v>60.31</v>
      </c>
      <c r="S120" s="277">
        <v>58.24</v>
      </c>
      <c r="T120" s="277">
        <v>51.51</v>
      </c>
      <c r="U120" s="277">
        <v>54.38</v>
      </c>
      <c r="V120" s="277">
        <v>56.2</v>
      </c>
      <c r="W120" s="278">
        <f t="shared" si="8"/>
        <v>5.62E-2</v>
      </c>
      <c r="X120" s="249">
        <f t="shared" ref="X120:Z120" si="15">A103</f>
        <v>0.5</v>
      </c>
      <c r="Y120" s="249">
        <f t="shared" si="15"/>
        <v>4.7666666666666666</v>
      </c>
      <c r="Z120" s="249">
        <f t="shared" si="15"/>
        <v>2.8499999999999996</v>
      </c>
      <c r="AA120" s="249">
        <f t="shared" si="10"/>
        <v>-1.916666666666667</v>
      </c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  <c r="BJ120" s="247"/>
      <c r="BK120" s="247"/>
      <c r="BL120" s="247"/>
      <c r="BM120" s="247"/>
      <c r="BN120" s="247"/>
      <c r="BO120" s="247"/>
      <c r="BP120" s="247"/>
      <c r="BQ120" s="247"/>
      <c r="BR120" s="247"/>
      <c r="BS120" s="247"/>
      <c r="BT120" s="247"/>
      <c r="BU120" s="247"/>
      <c r="BV120" s="247"/>
      <c r="BW120" s="247"/>
      <c r="BX120" s="247"/>
      <c r="BY120" s="247"/>
      <c r="BZ120" s="247"/>
      <c r="CA120" s="247"/>
      <c r="CB120" s="247"/>
      <c r="CC120" s="247"/>
      <c r="CD120" s="247"/>
      <c r="CE120" s="247"/>
      <c r="CF120" s="247"/>
      <c r="CG120" s="247"/>
      <c r="CH120" s="247"/>
      <c r="CI120" s="247"/>
      <c r="CJ120" s="247"/>
      <c r="CK120" s="247"/>
      <c r="CL120" s="247"/>
      <c r="CM120" s="247"/>
      <c r="CN120" s="247"/>
      <c r="CO120" s="247"/>
      <c r="CP120" s="247"/>
      <c r="CQ120" s="247"/>
      <c r="CR120" s="247"/>
      <c r="CS120" s="247"/>
      <c r="CT120" s="247"/>
      <c r="CU120" s="247"/>
      <c r="CV120" s="247"/>
      <c r="CW120" s="247"/>
      <c r="CX120" s="247"/>
      <c r="CY120" s="247"/>
      <c r="CZ120" s="247"/>
      <c r="DA120" s="247"/>
      <c r="DB120" s="247"/>
      <c r="DC120" s="247"/>
      <c r="DD120" s="247"/>
      <c r="DE120" s="247"/>
      <c r="DF120" s="247"/>
      <c r="DG120" s="247"/>
      <c r="DH120" s="247"/>
      <c r="DI120" s="247"/>
      <c r="DJ120" s="247"/>
      <c r="DK120" s="247"/>
      <c r="DL120" s="247"/>
      <c r="DM120" s="247"/>
      <c r="DN120" s="247"/>
      <c r="DO120" s="247"/>
      <c r="DP120" s="247"/>
      <c r="DQ120" s="247"/>
      <c r="DR120" s="247"/>
      <c r="DS120" s="247"/>
      <c r="DT120" s="247"/>
      <c r="DU120" s="247"/>
      <c r="DV120" s="247"/>
      <c r="DW120" s="247"/>
      <c r="DX120" s="247"/>
      <c r="DY120" s="247"/>
      <c r="DZ120" s="247"/>
      <c r="EA120" s="247"/>
      <c r="EB120" s="247"/>
      <c r="EC120" s="247"/>
      <c r="ED120" s="247"/>
      <c r="EE120" s="247"/>
      <c r="EF120" s="247"/>
      <c r="EG120" s="247"/>
      <c r="EH120" s="247"/>
      <c r="EI120" s="247"/>
      <c r="EJ120" s="247"/>
      <c r="EK120" s="247"/>
      <c r="EL120" s="247"/>
      <c r="EM120" s="247"/>
      <c r="EN120" s="247"/>
      <c r="EO120" s="247"/>
      <c r="EP120" s="247"/>
      <c r="EQ120" s="247"/>
      <c r="ER120" s="247"/>
      <c r="ES120" s="247"/>
      <c r="ET120" s="247"/>
      <c r="EU120" s="247"/>
      <c r="EV120" s="247"/>
      <c r="EW120" s="247"/>
      <c r="EX120" s="247"/>
      <c r="EY120" s="247"/>
      <c r="EZ120" s="247"/>
      <c r="FA120" s="247"/>
      <c r="FB120" s="247"/>
      <c r="FC120" s="247"/>
      <c r="FD120" s="247"/>
      <c r="FE120" s="247"/>
      <c r="FF120" s="247"/>
      <c r="FG120" s="247"/>
    </row>
    <row r="121" spans="1:163" ht="14.25" customHeight="1">
      <c r="A121" s="247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187" t="s">
        <v>907</v>
      </c>
      <c r="M121" s="277">
        <v>32.93</v>
      </c>
      <c r="N121" s="277">
        <v>35.83</v>
      </c>
      <c r="O121" s="277">
        <v>37.25</v>
      </c>
      <c r="P121" s="277">
        <v>42.09</v>
      </c>
      <c r="Q121" s="277">
        <v>49.3</v>
      </c>
      <c r="R121" s="277">
        <v>53.64</v>
      </c>
      <c r="S121" s="277">
        <v>51.6</v>
      </c>
      <c r="T121" s="277">
        <v>45.45</v>
      </c>
      <c r="U121" s="277">
        <v>48.23</v>
      </c>
      <c r="V121" s="277">
        <v>46.86</v>
      </c>
      <c r="W121" s="278">
        <f t="shared" si="8"/>
        <v>4.6859999999999999E-2</v>
      </c>
      <c r="X121" s="249">
        <f t="shared" ref="X121:Z121" si="16">A104</f>
        <v>3.7</v>
      </c>
      <c r="Y121" s="249">
        <f t="shared" si="16"/>
        <v>5.8166666666666664</v>
      </c>
      <c r="Z121" s="249">
        <f t="shared" si="16"/>
        <v>15.383333333333331</v>
      </c>
      <c r="AA121" s="249">
        <f t="shared" si="10"/>
        <v>9.5666666666666647</v>
      </c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  <c r="BJ121" s="247"/>
      <c r="BK121" s="247"/>
      <c r="BL121" s="247"/>
      <c r="BM121" s="247"/>
      <c r="BN121" s="247"/>
      <c r="BO121" s="247"/>
      <c r="BP121" s="247"/>
      <c r="BQ121" s="247"/>
      <c r="BR121" s="247"/>
      <c r="BS121" s="247"/>
      <c r="BT121" s="247"/>
      <c r="BU121" s="247"/>
      <c r="BV121" s="247"/>
      <c r="BW121" s="247"/>
      <c r="BX121" s="247"/>
      <c r="BY121" s="247"/>
      <c r="BZ121" s="247"/>
      <c r="CA121" s="247"/>
      <c r="CB121" s="247"/>
      <c r="CC121" s="247"/>
      <c r="CD121" s="247"/>
      <c r="CE121" s="247"/>
      <c r="CF121" s="247"/>
      <c r="CG121" s="247"/>
      <c r="CH121" s="247"/>
      <c r="CI121" s="247"/>
      <c r="CJ121" s="247"/>
      <c r="CK121" s="247"/>
      <c r="CL121" s="247"/>
      <c r="CM121" s="247"/>
      <c r="CN121" s="247"/>
      <c r="CO121" s="247"/>
      <c r="CP121" s="247"/>
      <c r="CQ121" s="247"/>
      <c r="CR121" s="247"/>
      <c r="CS121" s="247"/>
      <c r="CT121" s="247"/>
      <c r="CU121" s="247"/>
      <c r="CV121" s="247"/>
      <c r="CW121" s="247"/>
      <c r="CX121" s="247"/>
      <c r="CY121" s="247"/>
      <c r="CZ121" s="247"/>
      <c r="DA121" s="247"/>
      <c r="DB121" s="247"/>
      <c r="DC121" s="247"/>
      <c r="DD121" s="247"/>
      <c r="DE121" s="247"/>
      <c r="DF121" s="247"/>
      <c r="DG121" s="247"/>
      <c r="DH121" s="247"/>
      <c r="DI121" s="247"/>
      <c r="DJ121" s="247"/>
      <c r="DK121" s="247"/>
      <c r="DL121" s="247"/>
      <c r="DM121" s="247"/>
      <c r="DN121" s="247"/>
      <c r="DO121" s="247"/>
      <c r="DP121" s="247"/>
      <c r="DQ121" s="247"/>
      <c r="DR121" s="247"/>
      <c r="DS121" s="247"/>
      <c r="DT121" s="247"/>
      <c r="DU121" s="247"/>
      <c r="DV121" s="247"/>
      <c r="DW121" s="247"/>
      <c r="DX121" s="247"/>
      <c r="DY121" s="247"/>
      <c r="DZ121" s="247"/>
      <c r="EA121" s="247"/>
      <c r="EB121" s="247"/>
      <c r="EC121" s="247"/>
      <c r="ED121" s="247"/>
      <c r="EE121" s="247"/>
      <c r="EF121" s="247"/>
      <c r="EG121" s="247"/>
      <c r="EH121" s="247"/>
      <c r="EI121" s="247"/>
      <c r="EJ121" s="247"/>
      <c r="EK121" s="247"/>
      <c r="EL121" s="247"/>
      <c r="EM121" s="247"/>
      <c r="EN121" s="247"/>
      <c r="EO121" s="247"/>
      <c r="EP121" s="247"/>
      <c r="EQ121" s="247"/>
      <c r="ER121" s="247"/>
      <c r="ES121" s="247"/>
      <c r="ET121" s="247"/>
      <c r="EU121" s="247"/>
      <c r="EV121" s="247"/>
      <c r="EW121" s="247"/>
      <c r="EX121" s="247"/>
      <c r="EY121" s="247"/>
      <c r="EZ121" s="247"/>
      <c r="FA121" s="247"/>
      <c r="FB121" s="247"/>
      <c r="FC121" s="247"/>
      <c r="FD121" s="247"/>
      <c r="FE121" s="247"/>
      <c r="FF121" s="247"/>
      <c r="FG121" s="247"/>
    </row>
    <row r="122" spans="1:163" ht="14.25" customHeight="1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187" t="s">
        <v>446</v>
      </c>
      <c r="M122" s="277">
        <v>127.93</v>
      </c>
      <c r="N122" s="277">
        <v>134.26</v>
      </c>
      <c r="O122" s="277">
        <v>126.39</v>
      </c>
      <c r="P122" s="277">
        <v>122.83</v>
      </c>
      <c r="Q122" s="277">
        <v>119.84</v>
      </c>
      <c r="R122" s="277">
        <v>103.83</v>
      </c>
      <c r="S122" s="277">
        <v>110.17</v>
      </c>
      <c r="T122" s="277">
        <v>115.28</v>
      </c>
      <c r="U122" s="277">
        <v>107.53</v>
      </c>
      <c r="V122" s="277">
        <v>123.05</v>
      </c>
      <c r="W122" s="278">
        <f t="shared" si="8"/>
        <v>0.12304999999999999</v>
      </c>
      <c r="X122" s="249">
        <f t="shared" ref="X122:Z122" si="17">A105</f>
        <v>-10.7</v>
      </c>
      <c r="Y122" s="249">
        <f t="shared" si="17"/>
        <v>4.9249999999999998</v>
      </c>
      <c r="Z122" s="249">
        <f t="shared" si="17"/>
        <v>-6.1916666666666691</v>
      </c>
      <c r="AA122" s="249">
        <f t="shared" si="10"/>
        <v>-11.116666666666669</v>
      </c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  <c r="BJ122" s="247"/>
      <c r="BK122" s="247"/>
      <c r="BL122" s="247"/>
      <c r="BM122" s="247"/>
      <c r="BN122" s="247"/>
      <c r="BO122" s="247"/>
      <c r="BP122" s="247"/>
      <c r="BQ122" s="247"/>
      <c r="BR122" s="247"/>
      <c r="BS122" s="247"/>
      <c r="BT122" s="247"/>
      <c r="BU122" s="247"/>
      <c r="BV122" s="247"/>
      <c r="BW122" s="247"/>
      <c r="BX122" s="247"/>
      <c r="BY122" s="247"/>
      <c r="BZ122" s="247"/>
      <c r="CA122" s="247"/>
      <c r="CB122" s="247"/>
      <c r="CC122" s="247"/>
      <c r="CD122" s="247"/>
      <c r="CE122" s="247"/>
      <c r="CF122" s="247"/>
      <c r="CG122" s="247"/>
      <c r="CH122" s="247"/>
      <c r="CI122" s="247"/>
      <c r="CJ122" s="247"/>
      <c r="CK122" s="247"/>
      <c r="CL122" s="247"/>
      <c r="CM122" s="247"/>
      <c r="CN122" s="247"/>
      <c r="CO122" s="247"/>
      <c r="CP122" s="247"/>
      <c r="CQ122" s="247"/>
      <c r="CR122" s="247"/>
      <c r="CS122" s="247"/>
      <c r="CT122" s="247"/>
      <c r="CU122" s="247"/>
      <c r="CV122" s="247"/>
      <c r="CW122" s="247"/>
      <c r="CX122" s="247"/>
      <c r="CY122" s="247"/>
      <c r="CZ122" s="247"/>
      <c r="DA122" s="247"/>
      <c r="DB122" s="247"/>
      <c r="DC122" s="247"/>
      <c r="DD122" s="247"/>
      <c r="DE122" s="247"/>
      <c r="DF122" s="247"/>
      <c r="DG122" s="247"/>
      <c r="DH122" s="247"/>
      <c r="DI122" s="247"/>
      <c r="DJ122" s="247"/>
      <c r="DK122" s="247"/>
      <c r="DL122" s="247"/>
      <c r="DM122" s="247"/>
      <c r="DN122" s="247"/>
      <c r="DO122" s="247"/>
      <c r="DP122" s="247"/>
      <c r="DQ122" s="247"/>
      <c r="DR122" s="247"/>
      <c r="DS122" s="247"/>
      <c r="DT122" s="247"/>
      <c r="DU122" s="247"/>
      <c r="DV122" s="247"/>
      <c r="DW122" s="247"/>
      <c r="DX122" s="247"/>
      <c r="DY122" s="247"/>
      <c r="DZ122" s="247"/>
      <c r="EA122" s="247"/>
      <c r="EB122" s="247"/>
      <c r="EC122" s="247"/>
      <c r="ED122" s="247"/>
      <c r="EE122" s="247"/>
      <c r="EF122" s="247"/>
      <c r="EG122" s="247"/>
      <c r="EH122" s="247"/>
      <c r="EI122" s="247"/>
      <c r="EJ122" s="247"/>
      <c r="EK122" s="247"/>
      <c r="EL122" s="247"/>
      <c r="EM122" s="247"/>
      <c r="EN122" s="247"/>
      <c r="EO122" s="247"/>
      <c r="EP122" s="247"/>
      <c r="EQ122" s="247"/>
      <c r="ER122" s="247"/>
      <c r="ES122" s="247"/>
      <c r="ET122" s="247"/>
      <c r="EU122" s="247"/>
      <c r="EV122" s="247"/>
      <c r="EW122" s="247"/>
      <c r="EX122" s="247"/>
      <c r="EY122" s="247"/>
      <c r="EZ122" s="247"/>
      <c r="FA122" s="247"/>
      <c r="FB122" s="247"/>
      <c r="FC122" s="247"/>
      <c r="FD122" s="247"/>
      <c r="FE122" s="247"/>
      <c r="FF122" s="247"/>
      <c r="FG122" s="247"/>
    </row>
    <row r="123" spans="1:163" ht="14.25" customHeight="1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187" t="s">
        <v>908</v>
      </c>
      <c r="M123" s="277">
        <v>29.38</v>
      </c>
      <c r="N123" s="277">
        <v>36.549999999999997</v>
      </c>
      <c r="O123" s="277">
        <v>40.33</v>
      </c>
      <c r="P123" s="277">
        <v>32.950000000000003</v>
      </c>
      <c r="Q123" s="277">
        <v>35.72</v>
      </c>
      <c r="R123" s="277">
        <v>36.46</v>
      </c>
      <c r="S123" s="277">
        <v>34.770000000000003</v>
      </c>
      <c r="T123" s="277">
        <v>39.840000000000003</v>
      </c>
      <c r="U123" s="277">
        <v>45.53</v>
      </c>
      <c r="V123" s="277">
        <v>46.2</v>
      </c>
      <c r="W123" s="278">
        <f t="shared" si="8"/>
        <v>4.6200000000000005E-2</v>
      </c>
      <c r="X123" s="249">
        <f t="shared" ref="X123:Z123" si="18">A106</f>
        <v>-1.7</v>
      </c>
      <c r="Y123" s="249">
        <f t="shared" si="18"/>
        <v>-1.3833333333333335</v>
      </c>
      <c r="Z123" s="249">
        <f t="shared" si="18"/>
        <v>-0.26666666666666666</v>
      </c>
      <c r="AA123" s="249">
        <f t="shared" si="10"/>
        <v>1.1166666666666669</v>
      </c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  <c r="BJ123" s="247"/>
      <c r="BK123" s="247"/>
      <c r="BL123" s="247"/>
      <c r="BM123" s="247"/>
      <c r="BN123" s="247"/>
      <c r="BO123" s="247"/>
      <c r="BP123" s="247"/>
      <c r="BQ123" s="247"/>
      <c r="BR123" s="247"/>
      <c r="BS123" s="247"/>
      <c r="BT123" s="247"/>
      <c r="BU123" s="247"/>
      <c r="BV123" s="247"/>
      <c r="BW123" s="247"/>
      <c r="BX123" s="247"/>
      <c r="BY123" s="247"/>
      <c r="BZ123" s="247"/>
      <c r="CA123" s="247"/>
      <c r="CB123" s="247"/>
      <c r="CC123" s="247"/>
      <c r="CD123" s="247"/>
      <c r="CE123" s="247"/>
      <c r="CF123" s="247"/>
      <c r="CG123" s="247"/>
      <c r="CH123" s="247"/>
      <c r="CI123" s="247"/>
      <c r="CJ123" s="247"/>
      <c r="CK123" s="247"/>
      <c r="CL123" s="247"/>
      <c r="CM123" s="247"/>
      <c r="CN123" s="247"/>
      <c r="CO123" s="247"/>
      <c r="CP123" s="247"/>
      <c r="CQ123" s="247"/>
      <c r="CR123" s="247"/>
      <c r="CS123" s="247"/>
      <c r="CT123" s="247"/>
      <c r="CU123" s="247"/>
      <c r="CV123" s="247"/>
      <c r="CW123" s="247"/>
      <c r="CX123" s="247"/>
      <c r="CY123" s="247"/>
      <c r="CZ123" s="247"/>
      <c r="DA123" s="247"/>
      <c r="DB123" s="247"/>
      <c r="DC123" s="247"/>
      <c r="DD123" s="247"/>
      <c r="DE123" s="247"/>
      <c r="DF123" s="247"/>
      <c r="DG123" s="247"/>
      <c r="DH123" s="247"/>
      <c r="DI123" s="247"/>
      <c r="DJ123" s="247"/>
      <c r="DK123" s="247"/>
      <c r="DL123" s="247"/>
      <c r="DM123" s="247"/>
      <c r="DN123" s="247"/>
      <c r="DO123" s="247"/>
      <c r="DP123" s="247"/>
      <c r="DQ123" s="247"/>
      <c r="DR123" s="247"/>
      <c r="DS123" s="247"/>
      <c r="DT123" s="247"/>
      <c r="DU123" s="247"/>
      <c r="DV123" s="247"/>
      <c r="DW123" s="247"/>
      <c r="DX123" s="247"/>
      <c r="DY123" s="247"/>
      <c r="DZ123" s="247"/>
      <c r="EA123" s="247"/>
      <c r="EB123" s="247"/>
      <c r="EC123" s="247"/>
      <c r="ED123" s="247"/>
      <c r="EE123" s="247"/>
      <c r="EF123" s="247"/>
      <c r="EG123" s="247"/>
      <c r="EH123" s="247"/>
      <c r="EI123" s="247"/>
      <c r="EJ123" s="247"/>
      <c r="EK123" s="247"/>
      <c r="EL123" s="247"/>
      <c r="EM123" s="247"/>
      <c r="EN123" s="247"/>
      <c r="EO123" s="247"/>
      <c r="EP123" s="247"/>
      <c r="EQ123" s="247"/>
      <c r="ER123" s="247"/>
      <c r="ES123" s="247"/>
      <c r="ET123" s="247"/>
      <c r="EU123" s="247"/>
      <c r="EV123" s="247"/>
      <c r="EW123" s="247"/>
      <c r="EX123" s="247"/>
      <c r="EY123" s="247"/>
      <c r="EZ123" s="247"/>
      <c r="FA123" s="247"/>
      <c r="FB123" s="247"/>
      <c r="FC123" s="247"/>
      <c r="FD123" s="247"/>
      <c r="FE123" s="247"/>
      <c r="FF123" s="247"/>
      <c r="FG123" s="247"/>
    </row>
    <row r="124" spans="1:163" ht="14.25" customHeight="1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187" t="s">
        <v>909</v>
      </c>
      <c r="M124" s="277">
        <v>66.67</v>
      </c>
      <c r="N124" s="277">
        <v>75.3</v>
      </c>
      <c r="O124" s="277">
        <v>88.07</v>
      </c>
      <c r="P124" s="277">
        <v>88.55</v>
      </c>
      <c r="Q124" s="277">
        <v>91.86</v>
      </c>
      <c r="R124" s="277">
        <v>92.34</v>
      </c>
      <c r="S124" s="277">
        <v>91.93</v>
      </c>
      <c r="T124" s="277">
        <v>87.29</v>
      </c>
      <c r="U124" s="277">
        <v>90.23</v>
      </c>
      <c r="V124" s="277">
        <v>84.58</v>
      </c>
      <c r="W124" s="278">
        <f t="shared" si="8"/>
        <v>8.4580000000000002E-2</v>
      </c>
      <c r="X124" s="249">
        <f t="shared" ref="X124:Z124" si="19">A107</f>
        <v>0.7</v>
      </c>
      <c r="Y124" s="249">
        <f t="shared" si="19"/>
        <v>1.4833333333333332</v>
      </c>
      <c r="Z124" s="249">
        <f t="shared" si="19"/>
        <v>1.8666666666666665</v>
      </c>
      <c r="AA124" s="249">
        <f t="shared" si="10"/>
        <v>0.3833333333333333</v>
      </c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  <c r="BJ124" s="247"/>
      <c r="BK124" s="247"/>
      <c r="BL124" s="247"/>
      <c r="BM124" s="247"/>
      <c r="BN124" s="247"/>
      <c r="BO124" s="247"/>
      <c r="BP124" s="247"/>
      <c r="BQ124" s="247"/>
      <c r="BR124" s="247"/>
      <c r="BS124" s="247"/>
      <c r="BT124" s="247"/>
      <c r="BU124" s="247"/>
      <c r="BV124" s="247"/>
      <c r="BW124" s="247"/>
      <c r="BX124" s="247"/>
      <c r="BY124" s="247"/>
      <c r="BZ124" s="247"/>
      <c r="CA124" s="247"/>
      <c r="CB124" s="247"/>
      <c r="CC124" s="247"/>
      <c r="CD124" s="247"/>
      <c r="CE124" s="247"/>
      <c r="CF124" s="247"/>
      <c r="CG124" s="247"/>
      <c r="CH124" s="247"/>
      <c r="CI124" s="247"/>
      <c r="CJ124" s="247"/>
      <c r="CK124" s="247"/>
      <c r="CL124" s="247"/>
      <c r="CM124" s="247"/>
      <c r="CN124" s="247"/>
      <c r="CO124" s="247"/>
      <c r="CP124" s="247"/>
      <c r="CQ124" s="247"/>
      <c r="CR124" s="247"/>
      <c r="CS124" s="247"/>
      <c r="CT124" s="247"/>
      <c r="CU124" s="247"/>
      <c r="CV124" s="247"/>
      <c r="CW124" s="247"/>
      <c r="CX124" s="247"/>
      <c r="CY124" s="247"/>
      <c r="CZ124" s="247"/>
      <c r="DA124" s="247"/>
      <c r="DB124" s="247"/>
      <c r="DC124" s="247"/>
      <c r="DD124" s="247"/>
      <c r="DE124" s="247"/>
      <c r="DF124" s="247"/>
      <c r="DG124" s="247"/>
      <c r="DH124" s="247"/>
      <c r="DI124" s="247"/>
      <c r="DJ124" s="247"/>
      <c r="DK124" s="247"/>
      <c r="DL124" s="247"/>
      <c r="DM124" s="247"/>
      <c r="DN124" s="247"/>
      <c r="DO124" s="247"/>
      <c r="DP124" s="247"/>
      <c r="DQ124" s="247"/>
      <c r="DR124" s="247"/>
      <c r="DS124" s="247"/>
      <c r="DT124" s="247"/>
      <c r="DU124" s="247"/>
      <c r="DV124" s="247"/>
      <c r="DW124" s="247"/>
      <c r="DX124" s="247"/>
      <c r="DY124" s="247"/>
      <c r="DZ124" s="247"/>
      <c r="EA124" s="247"/>
      <c r="EB124" s="247"/>
      <c r="EC124" s="247"/>
      <c r="ED124" s="247"/>
      <c r="EE124" s="247"/>
      <c r="EF124" s="247"/>
      <c r="EG124" s="247"/>
      <c r="EH124" s="247"/>
      <c r="EI124" s="247"/>
      <c r="EJ124" s="247"/>
      <c r="EK124" s="247"/>
      <c r="EL124" s="247"/>
      <c r="EM124" s="247"/>
      <c r="EN124" s="247"/>
      <c r="EO124" s="247"/>
      <c r="EP124" s="247"/>
      <c r="EQ124" s="247"/>
      <c r="ER124" s="247"/>
      <c r="ES124" s="247"/>
      <c r="ET124" s="247"/>
      <c r="EU124" s="247"/>
      <c r="EV124" s="247"/>
      <c r="EW124" s="247"/>
      <c r="EX124" s="247"/>
      <c r="EY124" s="247"/>
      <c r="EZ124" s="247"/>
      <c r="FA124" s="247"/>
      <c r="FB124" s="247"/>
      <c r="FC124" s="247"/>
      <c r="FD124" s="247"/>
      <c r="FE124" s="247"/>
      <c r="FF124" s="247"/>
      <c r="FG124" s="247"/>
    </row>
    <row r="125" spans="1:163" ht="14.25" customHeight="1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187" t="s">
        <v>910</v>
      </c>
      <c r="M125" s="277">
        <v>10.58</v>
      </c>
      <c r="N125" s="277">
        <v>10.39</v>
      </c>
      <c r="O125" s="277">
        <v>13.62</v>
      </c>
      <c r="P125" s="277">
        <v>17.36</v>
      </c>
      <c r="Q125" s="277">
        <v>17.399999999999999</v>
      </c>
      <c r="R125" s="277">
        <v>23.83</v>
      </c>
      <c r="S125" s="277">
        <v>22.81</v>
      </c>
      <c r="T125" s="277">
        <v>19.829999999999998</v>
      </c>
      <c r="U125" s="277">
        <v>17.21</v>
      </c>
      <c r="V125" s="277">
        <v>13.88</v>
      </c>
      <c r="W125" s="278">
        <f t="shared" si="8"/>
        <v>1.388E-2</v>
      </c>
      <c r="X125" s="249">
        <f t="shared" ref="X125:Z125" si="20">A108</f>
        <v>1.9</v>
      </c>
      <c r="Y125" s="249">
        <f t="shared" si="20"/>
        <v>2.4083333333333337</v>
      </c>
      <c r="Z125" s="249">
        <f t="shared" si="20"/>
        <v>2.5333333333333337</v>
      </c>
      <c r="AA125" s="249">
        <f t="shared" si="10"/>
        <v>0.125</v>
      </c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  <c r="BJ125" s="247"/>
      <c r="BK125" s="247"/>
      <c r="BL125" s="247"/>
      <c r="BM125" s="247"/>
      <c r="BN125" s="247"/>
      <c r="BO125" s="247"/>
      <c r="BP125" s="247"/>
      <c r="BQ125" s="247"/>
      <c r="BR125" s="247"/>
      <c r="BS125" s="247"/>
      <c r="BT125" s="247"/>
      <c r="BU125" s="247"/>
      <c r="BV125" s="247"/>
      <c r="BW125" s="247"/>
      <c r="BX125" s="247"/>
      <c r="BY125" s="247"/>
      <c r="BZ125" s="247"/>
      <c r="CA125" s="247"/>
      <c r="CB125" s="247"/>
      <c r="CC125" s="247"/>
      <c r="CD125" s="247"/>
      <c r="CE125" s="247"/>
      <c r="CF125" s="247"/>
      <c r="CG125" s="247"/>
      <c r="CH125" s="247"/>
      <c r="CI125" s="247"/>
      <c r="CJ125" s="247"/>
      <c r="CK125" s="247"/>
      <c r="CL125" s="247"/>
      <c r="CM125" s="247"/>
      <c r="CN125" s="247"/>
      <c r="CO125" s="247"/>
      <c r="CP125" s="247"/>
      <c r="CQ125" s="247"/>
      <c r="CR125" s="247"/>
      <c r="CS125" s="247"/>
      <c r="CT125" s="247"/>
      <c r="CU125" s="247"/>
      <c r="CV125" s="247"/>
      <c r="CW125" s="247"/>
      <c r="CX125" s="247"/>
      <c r="CY125" s="247"/>
      <c r="CZ125" s="247"/>
      <c r="DA125" s="247"/>
      <c r="DB125" s="247"/>
      <c r="DC125" s="247"/>
      <c r="DD125" s="247"/>
      <c r="DE125" s="247"/>
      <c r="DF125" s="247"/>
      <c r="DG125" s="247"/>
      <c r="DH125" s="247"/>
      <c r="DI125" s="247"/>
      <c r="DJ125" s="247"/>
      <c r="DK125" s="247"/>
      <c r="DL125" s="247"/>
      <c r="DM125" s="247"/>
      <c r="DN125" s="247"/>
      <c r="DO125" s="247"/>
      <c r="DP125" s="247"/>
      <c r="DQ125" s="247"/>
      <c r="DR125" s="247"/>
      <c r="DS125" s="247"/>
      <c r="DT125" s="247"/>
      <c r="DU125" s="247"/>
      <c r="DV125" s="247"/>
      <c r="DW125" s="247"/>
      <c r="DX125" s="247"/>
      <c r="DY125" s="247"/>
      <c r="DZ125" s="247"/>
      <c r="EA125" s="247"/>
      <c r="EB125" s="247"/>
      <c r="EC125" s="247"/>
      <c r="ED125" s="247"/>
      <c r="EE125" s="247"/>
      <c r="EF125" s="247"/>
      <c r="EG125" s="247"/>
      <c r="EH125" s="247"/>
      <c r="EI125" s="247"/>
      <c r="EJ125" s="247"/>
      <c r="EK125" s="247"/>
      <c r="EL125" s="247"/>
      <c r="EM125" s="247"/>
      <c r="EN125" s="247"/>
      <c r="EO125" s="247"/>
      <c r="EP125" s="247"/>
      <c r="EQ125" s="247"/>
      <c r="ER125" s="247"/>
      <c r="ES125" s="247"/>
      <c r="ET125" s="247"/>
      <c r="EU125" s="247"/>
      <c r="EV125" s="247"/>
      <c r="EW125" s="247"/>
      <c r="EX125" s="247"/>
      <c r="EY125" s="247"/>
      <c r="EZ125" s="247"/>
      <c r="FA125" s="247"/>
      <c r="FB125" s="247"/>
      <c r="FC125" s="247"/>
      <c r="FD125" s="247"/>
      <c r="FE125" s="247"/>
      <c r="FF125" s="247"/>
      <c r="FG125" s="247"/>
    </row>
    <row r="126" spans="1:163" ht="14.25" customHeight="1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187" t="s">
        <v>911</v>
      </c>
      <c r="M126" s="277">
        <v>67.62</v>
      </c>
      <c r="N126" s="277">
        <v>72.150000000000006</v>
      </c>
      <c r="O126" s="277">
        <v>80.64</v>
      </c>
      <c r="P126" s="277">
        <v>89</v>
      </c>
      <c r="Q126" s="277">
        <v>96.06</v>
      </c>
      <c r="R126" s="277">
        <v>118.94</v>
      </c>
      <c r="S126" s="277">
        <v>127.15</v>
      </c>
      <c r="T126" s="277">
        <v>135.05000000000001</v>
      </c>
      <c r="U126" s="277">
        <v>131.03</v>
      </c>
      <c r="V126" s="277">
        <v>121.34</v>
      </c>
      <c r="W126" s="278">
        <f t="shared" si="8"/>
        <v>0.12134</v>
      </c>
      <c r="X126" s="249">
        <f t="shared" ref="X126:Z126" si="21">A109</f>
        <v>2.5</v>
      </c>
      <c r="Y126" s="249">
        <f t="shared" si="21"/>
        <v>5.625</v>
      </c>
      <c r="Z126" s="249">
        <f t="shared" si="21"/>
        <v>4.55</v>
      </c>
      <c r="AA126" s="249">
        <f t="shared" si="10"/>
        <v>-1.0750000000000002</v>
      </c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  <c r="BJ126" s="247"/>
      <c r="BK126" s="247"/>
      <c r="BL126" s="247"/>
      <c r="BM126" s="247"/>
      <c r="BN126" s="247"/>
      <c r="BO126" s="247"/>
      <c r="BP126" s="247"/>
      <c r="BQ126" s="247"/>
      <c r="BR126" s="247"/>
      <c r="BS126" s="247"/>
      <c r="BT126" s="247"/>
      <c r="BU126" s="247"/>
      <c r="BV126" s="247"/>
      <c r="BW126" s="247"/>
      <c r="BX126" s="247"/>
      <c r="BY126" s="247"/>
      <c r="BZ126" s="247"/>
      <c r="CA126" s="247"/>
      <c r="CB126" s="247"/>
      <c r="CC126" s="247"/>
      <c r="CD126" s="247"/>
      <c r="CE126" s="247"/>
      <c r="CF126" s="247"/>
      <c r="CG126" s="247"/>
      <c r="CH126" s="247"/>
      <c r="CI126" s="247"/>
      <c r="CJ126" s="247"/>
      <c r="CK126" s="247"/>
      <c r="CL126" s="247"/>
      <c r="CM126" s="247"/>
      <c r="CN126" s="247"/>
      <c r="CO126" s="247"/>
      <c r="CP126" s="247"/>
      <c r="CQ126" s="247"/>
      <c r="CR126" s="247"/>
      <c r="CS126" s="247"/>
      <c r="CT126" s="247"/>
      <c r="CU126" s="247"/>
      <c r="CV126" s="247"/>
      <c r="CW126" s="247"/>
      <c r="CX126" s="247"/>
      <c r="CY126" s="247"/>
      <c r="CZ126" s="247"/>
      <c r="DA126" s="247"/>
      <c r="DB126" s="247"/>
      <c r="DC126" s="247"/>
      <c r="DD126" s="247"/>
      <c r="DE126" s="247"/>
      <c r="DF126" s="247"/>
      <c r="DG126" s="247"/>
      <c r="DH126" s="247"/>
      <c r="DI126" s="247"/>
      <c r="DJ126" s="247"/>
      <c r="DK126" s="247"/>
      <c r="DL126" s="247"/>
      <c r="DM126" s="247"/>
      <c r="DN126" s="247"/>
      <c r="DO126" s="247"/>
      <c r="DP126" s="247"/>
      <c r="DQ126" s="247"/>
      <c r="DR126" s="247"/>
      <c r="DS126" s="247"/>
      <c r="DT126" s="247"/>
      <c r="DU126" s="247"/>
      <c r="DV126" s="247"/>
      <c r="DW126" s="247"/>
      <c r="DX126" s="247"/>
      <c r="DY126" s="247"/>
      <c r="DZ126" s="247"/>
      <c r="EA126" s="247"/>
      <c r="EB126" s="247"/>
      <c r="EC126" s="247"/>
      <c r="ED126" s="247"/>
      <c r="EE126" s="247"/>
      <c r="EF126" s="247"/>
      <c r="EG126" s="247"/>
      <c r="EH126" s="247"/>
      <c r="EI126" s="247"/>
      <c r="EJ126" s="247"/>
      <c r="EK126" s="247"/>
      <c r="EL126" s="247"/>
      <c r="EM126" s="247"/>
      <c r="EN126" s="247"/>
      <c r="EO126" s="247"/>
      <c r="EP126" s="247"/>
      <c r="EQ126" s="247"/>
      <c r="ER126" s="247"/>
      <c r="ES126" s="247"/>
      <c r="ET126" s="247"/>
      <c r="EU126" s="247"/>
      <c r="EV126" s="247"/>
      <c r="EW126" s="247"/>
      <c r="EX126" s="247"/>
      <c r="EY126" s="247"/>
      <c r="EZ126" s="247"/>
      <c r="FA126" s="247"/>
      <c r="FB126" s="247"/>
      <c r="FC126" s="247"/>
      <c r="FD126" s="247"/>
      <c r="FE126" s="247"/>
      <c r="FF126" s="247"/>
      <c r="FG126" s="247"/>
    </row>
    <row r="127" spans="1:163" ht="14.25" customHeight="1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187" t="s">
        <v>912</v>
      </c>
      <c r="M127" s="277">
        <v>58.27</v>
      </c>
      <c r="N127" s="277">
        <v>62.43</v>
      </c>
      <c r="O127" s="277">
        <v>67.69</v>
      </c>
      <c r="P127" s="277">
        <v>60.17</v>
      </c>
      <c r="Q127" s="277">
        <v>64.900000000000006</v>
      </c>
      <c r="R127" s="277">
        <v>61.06</v>
      </c>
      <c r="S127" s="277">
        <v>64.510000000000005</v>
      </c>
      <c r="T127" s="277">
        <v>66.349999999999994</v>
      </c>
      <c r="U127" s="277">
        <v>63.78</v>
      </c>
      <c r="V127" s="277">
        <v>65.180000000000007</v>
      </c>
      <c r="W127" s="278">
        <f t="shared" si="8"/>
        <v>6.5180000000000002E-2</v>
      </c>
      <c r="X127" s="249">
        <f t="shared" ref="X127:Z127" si="22">A110</f>
        <v>2.6</v>
      </c>
      <c r="Y127" s="249">
        <f t="shared" si="22"/>
        <v>4.1083333333333334</v>
      </c>
      <c r="Z127" s="249">
        <f t="shared" si="22"/>
        <v>3.6749999999999994</v>
      </c>
      <c r="AA127" s="249">
        <f t="shared" si="10"/>
        <v>-0.43333333333333401</v>
      </c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  <c r="BJ127" s="247"/>
      <c r="BK127" s="247"/>
      <c r="BL127" s="247"/>
      <c r="BM127" s="247"/>
      <c r="BN127" s="247"/>
      <c r="BO127" s="247"/>
      <c r="BP127" s="247"/>
      <c r="BQ127" s="247"/>
      <c r="BR127" s="247"/>
      <c r="BS127" s="247"/>
      <c r="BT127" s="247"/>
      <c r="BU127" s="247"/>
      <c r="BV127" s="247"/>
      <c r="BW127" s="247"/>
      <c r="BX127" s="247"/>
      <c r="BY127" s="247"/>
      <c r="BZ127" s="247"/>
      <c r="CA127" s="247"/>
      <c r="CB127" s="247"/>
      <c r="CC127" s="247"/>
      <c r="CD127" s="247"/>
      <c r="CE127" s="247"/>
      <c r="CF127" s="247"/>
      <c r="CG127" s="247"/>
      <c r="CH127" s="247"/>
      <c r="CI127" s="247"/>
      <c r="CJ127" s="247"/>
      <c r="CK127" s="247"/>
      <c r="CL127" s="247"/>
      <c r="CM127" s="247"/>
      <c r="CN127" s="247"/>
      <c r="CO127" s="247"/>
      <c r="CP127" s="247"/>
      <c r="CQ127" s="247"/>
      <c r="CR127" s="247"/>
      <c r="CS127" s="247"/>
      <c r="CT127" s="247"/>
      <c r="CU127" s="247"/>
      <c r="CV127" s="247"/>
      <c r="CW127" s="247"/>
      <c r="CX127" s="247"/>
      <c r="CY127" s="247"/>
      <c r="CZ127" s="247"/>
      <c r="DA127" s="247"/>
      <c r="DB127" s="247"/>
      <c r="DC127" s="247"/>
      <c r="DD127" s="247"/>
      <c r="DE127" s="247"/>
      <c r="DF127" s="247"/>
      <c r="DG127" s="247"/>
      <c r="DH127" s="247"/>
      <c r="DI127" s="247"/>
      <c r="DJ127" s="247"/>
      <c r="DK127" s="247"/>
      <c r="DL127" s="247"/>
      <c r="DM127" s="247"/>
      <c r="DN127" s="247"/>
      <c r="DO127" s="247"/>
      <c r="DP127" s="247"/>
      <c r="DQ127" s="247"/>
      <c r="DR127" s="247"/>
      <c r="DS127" s="247"/>
      <c r="DT127" s="247"/>
      <c r="DU127" s="247"/>
      <c r="DV127" s="247"/>
      <c r="DW127" s="247"/>
      <c r="DX127" s="247"/>
      <c r="DY127" s="247"/>
      <c r="DZ127" s="247"/>
      <c r="EA127" s="247"/>
      <c r="EB127" s="247"/>
      <c r="EC127" s="247"/>
      <c r="ED127" s="247"/>
      <c r="EE127" s="247"/>
      <c r="EF127" s="247"/>
      <c r="EG127" s="247"/>
      <c r="EH127" s="247"/>
      <c r="EI127" s="247"/>
      <c r="EJ127" s="247"/>
      <c r="EK127" s="247"/>
      <c r="EL127" s="247"/>
      <c r="EM127" s="247"/>
      <c r="EN127" s="247"/>
      <c r="EO127" s="247"/>
      <c r="EP127" s="247"/>
      <c r="EQ127" s="247"/>
      <c r="ER127" s="247"/>
      <c r="ES127" s="247"/>
      <c r="ET127" s="247"/>
      <c r="EU127" s="247"/>
      <c r="EV127" s="247"/>
      <c r="EW127" s="247"/>
      <c r="EX127" s="247"/>
      <c r="EY127" s="247"/>
      <c r="EZ127" s="247"/>
      <c r="FA127" s="247"/>
      <c r="FB127" s="247"/>
      <c r="FC127" s="247"/>
      <c r="FD127" s="247"/>
      <c r="FE127" s="247"/>
      <c r="FF127" s="247"/>
      <c r="FG127" s="247"/>
    </row>
    <row r="128" spans="1:163" ht="14.25" customHeight="1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  <c r="BJ128" s="247"/>
      <c r="BK128" s="247"/>
      <c r="BL128" s="247"/>
      <c r="BM128" s="247"/>
      <c r="BN128" s="247"/>
      <c r="BO128" s="247"/>
      <c r="BP128" s="247"/>
      <c r="BQ128" s="247"/>
      <c r="BR128" s="247"/>
      <c r="BS128" s="247"/>
      <c r="BT128" s="247"/>
      <c r="BU128" s="247"/>
      <c r="BV128" s="247"/>
      <c r="BW128" s="247"/>
      <c r="BX128" s="247"/>
      <c r="BY128" s="247"/>
      <c r="BZ128" s="247"/>
      <c r="CA128" s="247"/>
      <c r="CB128" s="247"/>
      <c r="CC128" s="247"/>
      <c r="CD128" s="247"/>
      <c r="CE128" s="247"/>
      <c r="CF128" s="247"/>
      <c r="CG128" s="247"/>
      <c r="CH128" s="247"/>
      <c r="CI128" s="247"/>
      <c r="CJ128" s="247"/>
      <c r="CK128" s="247"/>
      <c r="CL128" s="247"/>
      <c r="CM128" s="247"/>
      <c r="CN128" s="247"/>
      <c r="CO128" s="247"/>
      <c r="CP128" s="247"/>
      <c r="CQ128" s="247"/>
      <c r="CR128" s="247"/>
      <c r="CS128" s="247"/>
      <c r="CT128" s="247"/>
      <c r="CU128" s="247"/>
      <c r="CV128" s="247"/>
      <c r="CW128" s="247"/>
      <c r="CX128" s="247"/>
      <c r="CY128" s="247"/>
      <c r="CZ128" s="247"/>
      <c r="DA128" s="247"/>
      <c r="DB128" s="247"/>
      <c r="DC128" s="247"/>
      <c r="DD128" s="247"/>
      <c r="DE128" s="247"/>
      <c r="DF128" s="247"/>
      <c r="DG128" s="247"/>
      <c r="DH128" s="247"/>
      <c r="DI128" s="247"/>
      <c r="DJ128" s="247"/>
      <c r="DK128" s="247"/>
      <c r="DL128" s="247"/>
      <c r="DM128" s="247"/>
      <c r="DN128" s="247"/>
      <c r="DO128" s="247"/>
      <c r="DP128" s="247"/>
      <c r="DQ128" s="247"/>
      <c r="DR128" s="247"/>
      <c r="DS128" s="247"/>
      <c r="DT128" s="247"/>
      <c r="DU128" s="247"/>
      <c r="DV128" s="247"/>
      <c r="DW128" s="247"/>
      <c r="DX128" s="247"/>
      <c r="DY128" s="247"/>
      <c r="DZ128" s="247"/>
      <c r="EA128" s="247"/>
      <c r="EB128" s="247"/>
      <c r="EC128" s="247"/>
      <c r="ED128" s="247"/>
      <c r="EE128" s="247"/>
      <c r="EF128" s="247"/>
      <c r="EG128" s="247"/>
      <c r="EH128" s="247"/>
      <c r="EI128" s="247"/>
      <c r="EJ128" s="247"/>
      <c r="EK128" s="247"/>
      <c r="EL128" s="247"/>
      <c r="EM128" s="247"/>
      <c r="EN128" s="247"/>
      <c r="EO128" s="247"/>
      <c r="EP128" s="247"/>
      <c r="EQ128" s="247"/>
      <c r="ER128" s="247"/>
      <c r="ES128" s="247"/>
      <c r="ET128" s="247"/>
      <c r="EU128" s="247"/>
      <c r="EV128" s="247"/>
      <c r="EW128" s="247"/>
      <c r="EX128" s="247"/>
      <c r="EY128" s="247"/>
      <c r="EZ128" s="247"/>
      <c r="FA128" s="247"/>
      <c r="FB128" s="247"/>
      <c r="FC128" s="247"/>
      <c r="FD128" s="247"/>
      <c r="FE128" s="247"/>
      <c r="FF128" s="247"/>
      <c r="FG128" s="247"/>
    </row>
    <row r="129" spans="1:163" ht="14.25" customHeight="1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  <c r="BJ129" s="247"/>
      <c r="BK129" s="247"/>
      <c r="BL129" s="247"/>
      <c r="BM129" s="247"/>
      <c r="BN129" s="247"/>
      <c r="BO129" s="247"/>
      <c r="BP129" s="247"/>
      <c r="BQ129" s="247"/>
      <c r="BR129" s="247"/>
      <c r="BS129" s="247"/>
      <c r="BT129" s="247"/>
      <c r="BU129" s="247"/>
      <c r="BV129" s="247"/>
      <c r="BW129" s="247"/>
      <c r="BX129" s="247"/>
      <c r="BY129" s="247"/>
      <c r="BZ129" s="247"/>
      <c r="CA129" s="247"/>
      <c r="CB129" s="247"/>
      <c r="CC129" s="247"/>
      <c r="CD129" s="247"/>
      <c r="CE129" s="247"/>
      <c r="CF129" s="247"/>
      <c r="CG129" s="247"/>
      <c r="CH129" s="247"/>
      <c r="CI129" s="247"/>
      <c r="CJ129" s="247"/>
      <c r="CK129" s="247"/>
      <c r="CL129" s="247"/>
      <c r="CM129" s="247"/>
      <c r="CN129" s="247"/>
      <c r="CO129" s="247"/>
      <c r="CP129" s="247"/>
      <c r="CQ129" s="247"/>
      <c r="CR129" s="247"/>
      <c r="CS129" s="247"/>
      <c r="CT129" s="247"/>
      <c r="CU129" s="247"/>
      <c r="CV129" s="247"/>
      <c r="CW129" s="247"/>
      <c r="CX129" s="247"/>
      <c r="CY129" s="247"/>
      <c r="CZ129" s="247"/>
      <c r="DA129" s="247"/>
      <c r="DB129" s="247"/>
      <c r="DC129" s="247"/>
      <c r="DD129" s="247"/>
      <c r="DE129" s="247"/>
      <c r="DF129" s="247"/>
      <c r="DG129" s="247"/>
      <c r="DH129" s="247"/>
      <c r="DI129" s="247"/>
      <c r="DJ129" s="247"/>
      <c r="DK129" s="247"/>
      <c r="DL129" s="247"/>
      <c r="DM129" s="247"/>
      <c r="DN129" s="247"/>
      <c r="DO129" s="247"/>
      <c r="DP129" s="247"/>
      <c r="DQ129" s="247"/>
      <c r="DR129" s="247"/>
      <c r="DS129" s="247"/>
      <c r="DT129" s="247"/>
      <c r="DU129" s="247"/>
      <c r="DV129" s="247"/>
      <c r="DW129" s="247"/>
      <c r="DX129" s="247"/>
      <c r="DY129" s="247"/>
      <c r="DZ129" s="247"/>
      <c r="EA129" s="247"/>
      <c r="EB129" s="247"/>
      <c r="EC129" s="247"/>
      <c r="ED129" s="247"/>
      <c r="EE129" s="247"/>
      <c r="EF129" s="247"/>
      <c r="EG129" s="247"/>
      <c r="EH129" s="247"/>
      <c r="EI129" s="247"/>
      <c r="EJ129" s="247"/>
      <c r="EK129" s="247"/>
      <c r="EL129" s="247"/>
      <c r="EM129" s="247"/>
      <c r="EN129" s="247"/>
      <c r="EO129" s="247"/>
      <c r="EP129" s="247"/>
      <c r="EQ129" s="247"/>
      <c r="ER129" s="247"/>
      <c r="ES129" s="247"/>
      <c r="ET129" s="247"/>
      <c r="EU129" s="247"/>
      <c r="EV129" s="247"/>
      <c r="EW129" s="247"/>
      <c r="EX129" s="247"/>
      <c r="EY129" s="247"/>
      <c r="EZ129" s="247"/>
      <c r="FA129" s="247"/>
      <c r="FB129" s="247"/>
      <c r="FC129" s="247"/>
      <c r="FD129" s="247"/>
      <c r="FE129" s="247"/>
      <c r="FF129" s="247"/>
      <c r="FG129" s="247"/>
    </row>
    <row r="130" spans="1:163" ht="14.25" customHeight="1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  <c r="BJ130" s="247"/>
      <c r="BK130" s="247"/>
      <c r="BL130" s="247"/>
      <c r="BM130" s="247"/>
      <c r="BN130" s="247"/>
      <c r="BO130" s="247"/>
      <c r="BP130" s="247"/>
      <c r="BQ130" s="247"/>
      <c r="BR130" s="247"/>
      <c r="BS130" s="247"/>
      <c r="BT130" s="247"/>
      <c r="BU130" s="247"/>
      <c r="BV130" s="247"/>
      <c r="BW130" s="247"/>
      <c r="BX130" s="247"/>
      <c r="BY130" s="247"/>
      <c r="BZ130" s="247"/>
      <c r="CA130" s="247"/>
      <c r="CB130" s="247"/>
      <c r="CC130" s="247"/>
      <c r="CD130" s="247"/>
      <c r="CE130" s="247"/>
      <c r="CF130" s="247"/>
      <c r="CG130" s="247"/>
      <c r="CH130" s="247"/>
      <c r="CI130" s="247"/>
      <c r="CJ130" s="247"/>
      <c r="CK130" s="247"/>
      <c r="CL130" s="247"/>
      <c r="CM130" s="247"/>
      <c r="CN130" s="247"/>
      <c r="CO130" s="247"/>
      <c r="CP130" s="247"/>
      <c r="CQ130" s="247"/>
      <c r="CR130" s="247"/>
      <c r="CS130" s="247"/>
      <c r="CT130" s="247"/>
      <c r="CU130" s="247"/>
      <c r="CV130" s="247"/>
      <c r="CW130" s="247"/>
      <c r="CX130" s="247"/>
      <c r="CY130" s="247"/>
      <c r="CZ130" s="247"/>
      <c r="DA130" s="247"/>
      <c r="DB130" s="247"/>
      <c r="DC130" s="247"/>
      <c r="DD130" s="247"/>
      <c r="DE130" s="247"/>
      <c r="DF130" s="247"/>
      <c r="DG130" s="247"/>
      <c r="DH130" s="247"/>
      <c r="DI130" s="247"/>
      <c r="DJ130" s="247"/>
      <c r="DK130" s="247"/>
      <c r="DL130" s="247"/>
      <c r="DM130" s="247"/>
      <c r="DN130" s="247"/>
      <c r="DO130" s="247"/>
      <c r="DP130" s="247"/>
      <c r="DQ130" s="247"/>
      <c r="DR130" s="247"/>
      <c r="DS130" s="247"/>
      <c r="DT130" s="247"/>
      <c r="DU130" s="247"/>
      <c r="DV130" s="247"/>
      <c r="DW130" s="247"/>
      <c r="DX130" s="247"/>
      <c r="DY130" s="247"/>
      <c r="DZ130" s="247"/>
      <c r="EA130" s="247"/>
      <c r="EB130" s="247"/>
      <c r="EC130" s="247"/>
      <c r="ED130" s="247"/>
      <c r="EE130" s="247"/>
      <c r="EF130" s="247"/>
      <c r="EG130" s="247"/>
      <c r="EH130" s="247"/>
      <c r="EI130" s="247"/>
      <c r="EJ130" s="247"/>
      <c r="EK130" s="247"/>
      <c r="EL130" s="247"/>
      <c r="EM130" s="247"/>
      <c r="EN130" s="247"/>
      <c r="EO130" s="247"/>
      <c r="EP130" s="247"/>
      <c r="EQ130" s="247"/>
      <c r="ER130" s="247"/>
      <c r="ES130" s="247"/>
      <c r="ET130" s="247"/>
      <c r="EU130" s="247"/>
      <c r="EV130" s="247"/>
      <c r="EW130" s="247"/>
      <c r="EX130" s="247"/>
      <c r="EY130" s="247"/>
      <c r="EZ130" s="247"/>
      <c r="FA130" s="247"/>
      <c r="FB130" s="247"/>
      <c r="FC130" s="247"/>
      <c r="FD130" s="247"/>
      <c r="FE130" s="247"/>
      <c r="FF130" s="247"/>
      <c r="FG130" s="247"/>
    </row>
    <row r="131" spans="1:163" ht="14.25" customHeight="1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  <c r="BJ131" s="247"/>
      <c r="BK131" s="247"/>
      <c r="BL131" s="247"/>
      <c r="BM131" s="247"/>
      <c r="BN131" s="247"/>
      <c r="BO131" s="247"/>
      <c r="BP131" s="247"/>
      <c r="BQ131" s="247"/>
      <c r="BR131" s="247"/>
      <c r="BS131" s="247"/>
      <c r="BT131" s="247"/>
      <c r="BU131" s="247"/>
      <c r="BV131" s="247"/>
      <c r="BW131" s="247"/>
      <c r="BX131" s="247"/>
      <c r="BY131" s="247"/>
      <c r="BZ131" s="247"/>
      <c r="CA131" s="247"/>
      <c r="CB131" s="247"/>
      <c r="CC131" s="247"/>
      <c r="CD131" s="247"/>
      <c r="CE131" s="247"/>
      <c r="CF131" s="247"/>
      <c r="CG131" s="247"/>
      <c r="CH131" s="247"/>
      <c r="CI131" s="247"/>
      <c r="CJ131" s="247"/>
      <c r="CK131" s="247"/>
      <c r="CL131" s="247"/>
      <c r="CM131" s="247"/>
      <c r="CN131" s="247"/>
      <c r="CO131" s="247"/>
      <c r="CP131" s="247"/>
      <c r="CQ131" s="247"/>
      <c r="CR131" s="247"/>
      <c r="CS131" s="247"/>
      <c r="CT131" s="247"/>
      <c r="CU131" s="247"/>
      <c r="CV131" s="247"/>
      <c r="CW131" s="247"/>
      <c r="CX131" s="247"/>
      <c r="CY131" s="247"/>
      <c r="CZ131" s="247"/>
      <c r="DA131" s="247"/>
      <c r="DB131" s="247"/>
      <c r="DC131" s="247"/>
      <c r="DD131" s="247"/>
      <c r="DE131" s="247"/>
      <c r="DF131" s="247"/>
      <c r="DG131" s="247"/>
      <c r="DH131" s="247"/>
      <c r="DI131" s="247"/>
      <c r="DJ131" s="247"/>
      <c r="DK131" s="247"/>
      <c r="DL131" s="247"/>
      <c r="DM131" s="247"/>
      <c r="DN131" s="247"/>
      <c r="DO131" s="247"/>
      <c r="DP131" s="247"/>
      <c r="DQ131" s="247"/>
      <c r="DR131" s="247"/>
      <c r="DS131" s="247"/>
      <c r="DT131" s="247"/>
      <c r="DU131" s="247"/>
      <c r="DV131" s="247"/>
      <c r="DW131" s="247"/>
      <c r="DX131" s="247"/>
      <c r="DY131" s="247"/>
      <c r="DZ131" s="247"/>
      <c r="EA131" s="247"/>
      <c r="EB131" s="247"/>
      <c r="EC131" s="247"/>
      <c r="ED131" s="247"/>
      <c r="EE131" s="247"/>
      <c r="EF131" s="247"/>
      <c r="EG131" s="247"/>
      <c r="EH131" s="247"/>
      <c r="EI131" s="247"/>
      <c r="EJ131" s="247"/>
      <c r="EK131" s="247"/>
      <c r="EL131" s="247"/>
      <c r="EM131" s="247"/>
      <c r="EN131" s="247"/>
      <c r="EO131" s="247"/>
      <c r="EP131" s="247"/>
      <c r="EQ131" s="247"/>
      <c r="ER131" s="247"/>
      <c r="ES131" s="247"/>
      <c r="ET131" s="247"/>
      <c r="EU131" s="247"/>
      <c r="EV131" s="247"/>
      <c r="EW131" s="247"/>
      <c r="EX131" s="247"/>
      <c r="EY131" s="247"/>
      <c r="EZ131" s="247"/>
      <c r="FA131" s="247"/>
      <c r="FB131" s="247"/>
      <c r="FC131" s="247"/>
      <c r="FD131" s="247"/>
      <c r="FE131" s="247"/>
      <c r="FF131" s="247"/>
      <c r="FG131" s="247"/>
    </row>
    <row r="132" spans="1:163" ht="14.25" customHeight="1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  <c r="BJ132" s="247"/>
      <c r="BK132" s="247"/>
      <c r="BL132" s="247"/>
      <c r="BM132" s="247"/>
      <c r="BN132" s="247"/>
      <c r="BO132" s="247"/>
      <c r="BP132" s="247"/>
      <c r="BQ132" s="247"/>
      <c r="BR132" s="247"/>
      <c r="BS132" s="247"/>
      <c r="BT132" s="247"/>
      <c r="BU132" s="247"/>
      <c r="BV132" s="247"/>
      <c r="BW132" s="247"/>
      <c r="BX132" s="247"/>
      <c r="BY132" s="247"/>
      <c r="BZ132" s="247"/>
      <c r="CA132" s="247"/>
      <c r="CB132" s="247"/>
      <c r="CC132" s="247"/>
      <c r="CD132" s="247"/>
      <c r="CE132" s="247"/>
      <c r="CF132" s="247"/>
      <c r="CG132" s="247"/>
      <c r="CH132" s="247"/>
      <c r="CI132" s="247"/>
      <c r="CJ132" s="247"/>
      <c r="CK132" s="247"/>
      <c r="CL132" s="247"/>
      <c r="CM132" s="247"/>
      <c r="CN132" s="247"/>
      <c r="CO132" s="247"/>
      <c r="CP132" s="247"/>
      <c r="CQ132" s="247"/>
      <c r="CR132" s="247"/>
      <c r="CS132" s="247"/>
      <c r="CT132" s="247"/>
      <c r="CU132" s="247"/>
      <c r="CV132" s="247"/>
      <c r="CW132" s="247"/>
      <c r="CX132" s="247"/>
      <c r="CY132" s="247"/>
      <c r="CZ132" s="247"/>
      <c r="DA132" s="247"/>
      <c r="DB132" s="247"/>
      <c r="DC132" s="247"/>
      <c r="DD132" s="247"/>
      <c r="DE132" s="247"/>
      <c r="DF132" s="247"/>
      <c r="DG132" s="247"/>
      <c r="DH132" s="247"/>
      <c r="DI132" s="247"/>
      <c r="DJ132" s="247"/>
      <c r="DK132" s="247"/>
      <c r="DL132" s="247"/>
      <c r="DM132" s="247"/>
      <c r="DN132" s="247"/>
      <c r="DO132" s="247"/>
      <c r="DP132" s="247"/>
      <c r="DQ132" s="247"/>
      <c r="DR132" s="247"/>
      <c r="DS132" s="247"/>
      <c r="DT132" s="247"/>
      <c r="DU132" s="247"/>
      <c r="DV132" s="247"/>
      <c r="DW132" s="247"/>
      <c r="DX132" s="247"/>
      <c r="DY132" s="247"/>
      <c r="DZ132" s="247"/>
      <c r="EA132" s="247"/>
      <c r="EB132" s="247"/>
      <c r="EC132" s="247"/>
      <c r="ED132" s="247"/>
      <c r="EE132" s="247"/>
      <c r="EF132" s="247"/>
      <c r="EG132" s="247"/>
      <c r="EH132" s="247"/>
      <c r="EI132" s="247"/>
      <c r="EJ132" s="247"/>
      <c r="EK132" s="247"/>
      <c r="EL132" s="247"/>
      <c r="EM132" s="247"/>
      <c r="EN132" s="247"/>
      <c r="EO132" s="247"/>
      <c r="EP132" s="247"/>
      <c r="EQ132" s="247"/>
      <c r="ER132" s="247"/>
      <c r="ES132" s="247"/>
      <c r="ET132" s="247"/>
      <c r="EU132" s="247"/>
      <c r="EV132" s="247"/>
      <c r="EW132" s="247"/>
      <c r="EX132" s="247"/>
      <c r="EY132" s="247"/>
      <c r="EZ132" s="247"/>
      <c r="FA132" s="247"/>
      <c r="FB132" s="247"/>
      <c r="FC132" s="247"/>
      <c r="FD132" s="247"/>
      <c r="FE132" s="247"/>
      <c r="FF132" s="247"/>
      <c r="FG132" s="247"/>
    </row>
    <row r="133" spans="1:163" ht="14.25" customHeight="1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  <c r="BJ133" s="247"/>
      <c r="BK133" s="247"/>
      <c r="BL133" s="247"/>
      <c r="BM133" s="247"/>
      <c r="BN133" s="247"/>
      <c r="BO133" s="247"/>
      <c r="BP133" s="247"/>
      <c r="BQ133" s="247"/>
      <c r="BR133" s="247"/>
      <c r="BS133" s="247"/>
      <c r="BT133" s="247"/>
      <c r="BU133" s="247"/>
      <c r="BV133" s="247"/>
      <c r="BW133" s="247"/>
      <c r="BX133" s="247"/>
      <c r="BY133" s="247"/>
      <c r="BZ133" s="247"/>
      <c r="CA133" s="247"/>
      <c r="CB133" s="247"/>
      <c r="CC133" s="247"/>
      <c r="CD133" s="247"/>
      <c r="CE133" s="247"/>
      <c r="CF133" s="247"/>
      <c r="CG133" s="247"/>
      <c r="CH133" s="247"/>
      <c r="CI133" s="247"/>
      <c r="CJ133" s="247"/>
      <c r="CK133" s="247"/>
      <c r="CL133" s="247"/>
      <c r="CM133" s="247"/>
      <c r="CN133" s="247"/>
      <c r="CO133" s="247"/>
      <c r="CP133" s="247"/>
      <c r="CQ133" s="247"/>
      <c r="CR133" s="247"/>
      <c r="CS133" s="247"/>
      <c r="CT133" s="247"/>
      <c r="CU133" s="247"/>
      <c r="CV133" s="247"/>
      <c r="CW133" s="247"/>
      <c r="CX133" s="247"/>
      <c r="CY133" s="247"/>
      <c r="CZ133" s="247"/>
      <c r="DA133" s="247"/>
      <c r="DB133" s="247"/>
      <c r="DC133" s="247"/>
      <c r="DD133" s="247"/>
      <c r="DE133" s="247"/>
      <c r="DF133" s="247"/>
      <c r="DG133" s="247"/>
      <c r="DH133" s="247"/>
      <c r="DI133" s="247"/>
      <c r="DJ133" s="247"/>
      <c r="DK133" s="247"/>
      <c r="DL133" s="247"/>
      <c r="DM133" s="247"/>
      <c r="DN133" s="247"/>
      <c r="DO133" s="247"/>
      <c r="DP133" s="247"/>
      <c r="DQ133" s="247"/>
      <c r="DR133" s="247"/>
      <c r="DS133" s="247"/>
      <c r="DT133" s="247"/>
      <c r="DU133" s="247"/>
      <c r="DV133" s="247"/>
      <c r="DW133" s="247"/>
      <c r="DX133" s="247"/>
      <c r="DY133" s="247"/>
      <c r="DZ133" s="247"/>
      <c r="EA133" s="247"/>
      <c r="EB133" s="247"/>
      <c r="EC133" s="247"/>
      <c r="ED133" s="247"/>
      <c r="EE133" s="247"/>
      <c r="EF133" s="247"/>
      <c r="EG133" s="247"/>
      <c r="EH133" s="247"/>
      <c r="EI133" s="247"/>
      <c r="EJ133" s="247"/>
      <c r="EK133" s="247"/>
      <c r="EL133" s="247"/>
      <c r="EM133" s="247"/>
      <c r="EN133" s="247"/>
      <c r="EO133" s="247"/>
      <c r="EP133" s="247"/>
      <c r="EQ133" s="247"/>
      <c r="ER133" s="247"/>
      <c r="ES133" s="247"/>
      <c r="ET133" s="247"/>
      <c r="EU133" s="247"/>
      <c r="EV133" s="247"/>
      <c r="EW133" s="247"/>
      <c r="EX133" s="247"/>
      <c r="EY133" s="247"/>
      <c r="EZ133" s="247"/>
      <c r="FA133" s="247"/>
      <c r="FB133" s="247"/>
      <c r="FC133" s="247"/>
      <c r="FD133" s="247"/>
      <c r="FE133" s="247"/>
      <c r="FF133" s="247"/>
      <c r="FG133" s="247"/>
    </row>
    <row r="134" spans="1:163" ht="14.25" customHeight="1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  <c r="BJ134" s="247"/>
      <c r="BK134" s="247"/>
      <c r="BL134" s="247"/>
      <c r="BM134" s="247"/>
      <c r="BN134" s="247"/>
      <c r="BO134" s="247"/>
      <c r="BP134" s="247"/>
      <c r="BQ134" s="247"/>
      <c r="BR134" s="247"/>
      <c r="BS134" s="247"/>
      <c r="BT134" s="247"/>
      <c r="BU134" s="247"/>
      <c r="BV134" s="247"/>
      <c r="BW134" s="247"/>
      <c r="BX134" s="247"/>
      <c r="BY134" s="247"/>
      <c r="BZ134" s="247"/>
      <c r="CA134" s="247"/>
      <c r="CB134" s="247"/>
      <c r="CC134" s="247"/>
      <c r="CD134" s="247"/>
      <c r="CE134" s="247"/>
      <c r="CF134" s="247"/>
      <c r="CG134" s="247"/>
      <c r="CH134" s="247"/>
      <c r="CI134" s="247"/>
      <c r="CJ134" s="247"/>
      <c r="CK134" s="247"/>
      <c r="CL134" s="247"/>
      <c r="CM134" s="247"/>
      <c r="CN134" s="247"/>
      <c r="CO134" s="247"/>
      <c r="CP134" s="247"/>
      <c r="CQ134" s="247"/>
      <c r="CR134" s="247"/>
      <c r="CS134" s="247"/>
      <c r="CT134" s="247"/>
      <c r="CU134" s="247"/>
      <c r="CV134" s="247"/>
      <c r="CW134" s="247"/>
      <c r="CX134" s="247"/>
      <c r="CY134" s="247"/>
      <c r="CZ134" s="247"/>
      <c r="DA134" s="247"/>
      <c r="DB134" s="247"/>
      <c r="DC134" s="247"/>
      <c r="DD134" s="247"/>
      <c r="DE134" s="247"/>
      <c r="DF134" s="247"/>
      <c r="DG134" s="247"/>
      <c r="DH134" s="247"/>
      <c r="DI134" s="247"/>
      <c r="DJ134" s="247"/>
      <c r="DK134" s="247"/>
      <c r="DL134" s="247"/>
      <c r="DM134" s="247"/>
      <c r="DN134" s="247"/>
      <c r="DO134" s="247"/>
      <c r="DP134" s="247"/>
      <c r="DQ134" s="247"/>
      <c r="DR134" s="247"/>
      <c r="DS134" s="247"/>
      <c r="DT134" s="247"/>
      <c r="DU134" s="247"/>
      <c r="DV134" s="247"/>
      <c r="DW134" s="247"/>
      <c r="DX134" s="247"/>
      <c r="DY134" s="247"/>
      <c r="DZ134" s="247"/>
      <c r="EA134" s="247"/>
      <c r="EB134" s="247"/>
      <c r="EC134" s="247"/>
      <c r="ED134" s="247"/>
      <c r="EE134" s="247"/>
      <c r="EF134" s="247"/>
      <c r="EG134" s="247"/>
      <c r="EH134" s="247"/>
      <c r="EI134" s="247"/>
      <c r="EJ134" s="247"/>
      <c r="EK134" s="247"/>
      <c r="EL134" s="247"/>
      <c r="EM134" s="247"/>
      <c r="EN134" s="247"/>
      <c r="EO134" s="247"/>
      <c r="EP134" s="247"/>
      <c r="EQ134" s="247"/>
      <c r="ER134" s="247"/>
      <c r="ES134" s="247"/>
      <c r="ET134" s="247"/>
      <c r="EU134" s="247"/>
      <c r="EV134" s="247"/>
      <c r="EW134" s="247"/>
      <c r="EX134" s="247"/>
      <c r="EY134" s="247"/>
      <c r="EZ134" s="247"/>
      <c r="FA134" s="247"/>
      <c r="FB134" s="247"/>
      <c r="FC134" s="247"/>
      <c r="FD134" s="247"/>
      <c r="FE134" s="247"/>
      <c r="FF134" s="247"/>
      <c r="FG134" s="247"/>
    </row>
    <row r="135" spans="1:163" ht="14.25" customHeight="1"/>
    <row r="136" spans="1:163" ht="14.25" customHeight="1"/>
    <row r="137" spans="1:163" ht="14.25" customHeight="1"/>
    <row r="138" spans="1:163" ht="14.25" customHeight="1"/>
    <row r="139" spans="1:163" ht="14.25" customHeight="1"/>
    <row r="140" spans="1:163" ht="14.25" customHeight="1"/>
    <row r="141" spans="1:163" ht="14.25" customHeight="1"/>
    <row r="142" spans="1:163" ht="14.25" customHeight="1"/>
    <row r="143" spans="1:163" ht="14.25" customHeight="1"/>
    <row r="144" spans="1:163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F1"/>
    <mergeCell ref="G1:I1"/>
    <mergeCell ref="J1:L1"/>
    <mergeCell ref="A83:J83"/>
    <mergeCell ref="A88:J88"/>
  </mergeCells>
  <conditionalFormatting sqref="M116:V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8"/>
  <sheetViews>
    <sheetView zoomScale="85" workbookViewId="0">
      <pane ySplit="2" topLeftCell="A61" activePane="bottomLeft" state="frozen"/>
      <selection activeCell="D93" sqref="D93"/>
      <selection pane="bottomLeft" activeCell="G71" sqref="G71"/>
    </sheetView>
  </sheetViews>
  <sheetFormatPr defaultRowHeight="14.4" outlineLevelRow="1"/>
  <cols>
    <col min="1" max="1" width="10.796875" style="280" customWidth="1"/>
    <col min="2" max="4" width="9.19921875" style="280" customWidth="1"/>
    <col min="5" max="6" width="9.19921875" style="282" customWidth="1"/>
    <col min="7" max="9" width="8.796875" style="282"/>
    <col min="10" max="10" width="1.8984375" style="283" customWidth="1"/>
    <col min="11" max="11" width="9.09765625" style="280" bestFit="1" customWidth="1"/>
    <col min="12" max="16" width="8.796875" style="282"/>
    <col min="17" max="17" width="1.8984375" style="283" customWidth="1"/>
    <col min="18" max="18" width="9.09765625" style="280" bestFit="1" customWidth="1"/>
    <col min="19" max="23" width="8.796875" style="282"/>
    <col min="24" max="31" width="8.796875" style="281"/>
    <col min="32" max="16384" width="8.796875" style="280"/>
  </cols>
  <sheetData>
    <row r="1" spans="1:37">
      <c r="D1" s="370" t="s">
        <v>5</v>
      </c>
      <c r="E1" s="370"/>
      <c r="F1" s="370"/>
      <c r="G1" s="370"/>
      <c r="H1" s="370"/>
      <c r="I1" s="370"/>
      <c r="K1" s="371" t="s">
        <v>6</v>
      </c>
      <c r="L1" s="371"/>
      <c r="M1" s="371"/>
      <c r="N1" s="371"/>
      <c r="O1" s="371"/>
      <c r="P1" s="371"/>
      <c r="R1" s="372" t="s">
        <v>7</v>
      </c>
      <c r="S1" s="372"/>
      <c r="T1" s="372"/>
      <c r="U1" s="372"/>
      <c r="V1" s="372"/>
      <c r="W1" s="372"/>
      <c r="AK1" s="291" t="s">
        <v>955</v>
      </c>
    </row>
    <row r="2" spans="1:37" s="281" customFormat="1" ht="28.8">
      <c r="C2" s="280"/>
      <c r="D2" s="280" t="s">
        <v>9</v>
      </c>
      <c r="E2" s="290" t="s">
        <v>954</v>
      </c>
      <c r="F2" s="290" t="s">
        <v>934</v>
      </c>
      <c r="G2" s="290" t="s">
        <v>933</v>
      </c>
      <c r="H2" s="290" t="s">
        <v>932</v>
      </c>
      <c r="I2" s="290" t="s">
        <v>931</v>
      </c>
      <c r="J2" s="283"/>
      <c r="K2" s="280" t="s">
        <v>9</v>
      </c>
      <c r="L2" s="290" t="s">
        <v>954</v>
      </c>
      <c r="M2" s="290" t="s">
        <v>934</v>
      </c>
      <c r="N2" s="290" t="s">
        <v>933</v>
      </c>
      <c r="O2" s="290" t="s">
        <v>932</v>
      </c>
      <c r="P2" s="290" t="s">
        <v>931</v>
      </c>
      <c r="Q2" s="283"/>
      <c r="R2" s="280" t="s">
        <v>9</v>
      </c>
      <c r="S2" s="290" t="s">
        <v>954</v>
      </c>
      <c r="T2" s="290" t="s">
        <v>934</v>
      </c>
      <c r="U2" s="290" t="s">
        <v>933</v>
      </c>
      <c r="V2" s="290" t="s">
        <v>932</v>
      </c>
      <c r="W2" s="290" t="s">
        <v>931</v>
      </c>
      <c r="AF2" s="280"/>
      <c r="AG2" s="280"/>
      <c r="AH2" s="280"/>
      <c r="AI2" s="280"/>
      <c r="AK2" s="288" t="s">
        <v>953</v>
      </c>
    </row>
    <row r="3" spans="1:37" s="281" customFormat="1" outlineLevel="1">
      <c r="C3" s="280"/>
      <c r="D3" s="294">
        <v>37711</v>
      </c>
      <c r="E3" s="282">
        <v>14.384349827387808</v>
      </c>
      <c r="F3" s="282">
        <f>place!B23*100</f>
        <v>6.9702132758422852</v>
      </c>
      <c r="G3" s="282">
        <f>(inflacija!C11+nezaposlenost!V16)-(inflacija!C7+nezaposlenost!V12)</f>
        <v>-5.5057297389696309</v>
      </c>
      <c r="H3" s="282"/>
      <c r="I3" s="282">
        <f>krediti!H11</f>
        <v>28.706081426335817</v>
      </c>
      <c r="J3" s="283"/>
      <c r="K3" s="294">
        <v>37711</v>
      </c>
      <c r="L3" s="282">
        <v>14.384349827387808</v>
      </c>
      <c r="M3" s="282">
        <f>place!I23*100</f>
        <v>6.9702132758422852</v>
      </c>
      <c r="N3" s="282">
        <f>(inflacija!G11+nezaposlenost!W16)-(inflacija!G7+nezaposlenost!W12)</f>
        <v>-5.5057297389696309</v>
      </c>
      <c r="O3" s="282"/>
      <c r="P3" s="282">
        <f>+I3</f>
        <v>28.706081426335817</v>
      </c>
      <c r="Q3" s="283"/>
      <c r="R3" s="294">
        <v>37711</v>
      </c>
      <c r="S3" s="282">
        <v>14.384349827387808</v>
      </c>
      <c r="T3" s="282">
        <f>place!P23*100</f>
        <v>6.9702132758422852</v>
      </c>
      <c r="U3" s="282">
        <f>+N3</f>
        <v>-5.5057297389696309</v>
      </c>
      <c r="V3" s="282"/>
      <c r="W3" s="282">
        <f>+P3</f>
        <v>28.706081426335817</v>
      </c>
      <c r="AF3" s="280"/>
      <c r="AG3" s="280"/>
      <c r="AH3" s="280"/>
      <c r="AI3" s="280"/>
      <c r="AK3" s="288" t="s">
        <v>952</v>
      </c>
    </row>
    <row r="4" spans="1:37" s="281" customFormat="1" outlineLevel="1">
      <c r="C4" s="280"/>
      <c r="D4" s="294">
        <v>37802</v>
      </c>
      <c r="E4" s="282">
        <v>19.078509647371945</v>
      </c>
      <c r="F4" s="282">
        <f>place!B24*100</f>
        <v>3.8224224778289351</v>
      </c>
      <c r="G4" s="282">
        <f>(inflacija!C12+nezaposlenost!V17)-(inflacija!C8+nezaposlenost!V13)</f>
        <v>-2.6206737550844394</v>
      </c>
      <c r="H4" s="282"/>
      <c r="I4" s="282">
        <f>krediti!H12</f>
        <v>22.507895967338442</v>
      </c>
      <c r="J4" s="283"/>
      <c r="K4" s="294">
        <v>37802</v>
      </c>
      <c r="L4" s="282">
        <v>19.078509647371945</v>
      </c>
      <c r="M4" s="282">
        <f>place!I24*100</f>
        <v>3.8224224778289351</v>
      </c>
      <c r="N4" s="282">
        <f>(inflacija!G12+nezaposlenost!W17)-(inflacija!G8+nezaposlenost!W13)</f>
        <v>-2.6206737550844394</v>
      </c>
      <c r="O4" s="282"/>
      <c r="P4" s="282">
        <f>+I4</f>
        <v>22.507895967338442</v>
      </c>
      <c r="Q4" s="283"/>
      <c r="R4" s="294">
        <v>37802</v>
      </c>
      <c r="S4" s="282">
        <v>19.078509647371945</v>
      </c>
      <c r="T4" s="282">
        <f>place!P24*100</f>
        <v>3.8224224778289351</v>
      </c>
      <c r="U4" s="282">
        <f>+N4</f>
        <v>-2.6206737550844394</v>
      </c>
      <c r="V4" s="282"/>
      <c r="W4" s="282">
        <f>+P4</f>
        <v>22.507895967338442</v>
      </c>
      <c r="AF4" s="280"/>
      <c r="AG4" s="280"/>
      <c r="AH4" s="280"/>
      <c r="AI4" s="280"/>
      <c r="AK4" s="289"/>
    </row>
    <row r="5" spans="1:37" s="281" customFormat="1" outlineLevel="1">
      <c r="C5" s="280"/>
      <c r="D5" s="294">
        <v>37894</v>
      </c>
      <c r="E5" s="282">
        <v>13.867464190146393</v>
      </c>
      <c r="F5" s="282">
        <f>place!B25*100</f>
        <v>4.4618497348130504</v>
      </c>
      <c r="G5" s="282">
        <f>(inflacija!C13+nezaposlenost!V18)-(inflacija!C9+nezaposlenost!V14)</f>
        <v>-3.8661823126070374</v>
      </c>
      <c r="H5" s="282"/>
      <c r="I5" s="282">
        <f>krediti!H13</f>
        <v>17.651335654884505</v>
      </c>
      <c r="J5" s="283"/>
      <c r="K5" s="294">
        <v>37894</v>
      </c>
      <c r="L5" s="282">
        <v>13.867464190146393</v>
      </c>
      <c r="M5" s="282">
        <f>place!I25*100</f>
        <v>4.4618497348130504</v>
      </c>
      <c r="N5" s="282">
        <f>(inflacija!G13+nezaposlenost!W18)-(inflacija!G9+nezaposlenost!W14)</f>
        <v>-3.8661823126070374</v>
      </c>
      <c r="O5" s="282"/>
      <c r="P5" s="282">
        <f>+I5</f>
        <v>17.651335654884505</v>
      </c>
      <c r="Q5" s="283"/>
      <c r="R5" s="294">
        <v>37894</v>
      </c>
      <c r="S5" s="282">
        <v>13.867464190146393</v>
      </c>
      <c r="T5" s="282">
        <f>place!P25*100</f>
        <v>4.4618497348130504</v>
      </c>
      <c r="U5" s="282">
        <f>(inflacija!J13+nezaposlenost!X18)-(inflacija!J9+nezaposlenost!X14)</f>
        <v>-3.8661823126070374</v>
      </c>
      <c r="V5" s="282"/>
      <c r="W5" s="282">
        <f>krediti!J13</f>
        <v>17.651335654884505</v>
      </c>
      <c r="AF5" s="280"/>
      <c r="AG5" s="280"/>
      <c r="AH5" s="280"/>
      <c r="AI5" s="280"/>
      <c r="AK5" s="288" t="s">
        <v>951</v>
      </c>
    </row>
    <row r="6" spans="1:37" s="281" customFormat="1" outlineLevel="1">
      <c r="C6" s="280"/>
      <c r="D6" s="294">
        <v>37986</v>
      </c>
      <c r="E6" s="282">
        <v>20.901126408010001</v>
      </c>
      <c r="F6" s="282">
        <f>place!B26*100</f>
        <v>2.8696878569142825</v>
      </c>
      <c r="G6" s="282">
        <f>(inflacija!C14+nezaposlenost!V19)-(inflacija!C10+nezaposlenost!V15)</f>
        <v>-0.62207236334623772</v>
      </c>
      <c r="H6" s="282"/>
      <c r="I6" s="282">
        <f>krediti!H14</f>
        <v>14.649778309674577</v>
      </c>
      <c r="J6" s="283"/>
      <c r="K6" s="294">
        <v>37986</v>
      </c>
      <c r="L6" s="282">
        <v>20.901126408010001</v>
      </c>
      <c r="M6" s="282">
        <f>place!I26*100</f>
        <v>2.8696878569142825</v>
      </c>
      <c r="N6" s="282">
        <f>(inflacija!G14+nezaposlenost!W19)-(inflacija!G10+nezaposlenost!W15)</f>
        <v>-0.62207236334623772</v>
      </c>
      <c r="O6" s="282"/>
      <c r="P6" s="282">
        <f>krediti!I14</f>
        <v>14.649778309674577</v>
      </c>
      <c r="Q6" s="283"/>
      <c r="R6" s="294">
        <v>37986</v>
      </c>
      <c r="S6" s="282">
        <v>20.901126408010001</v>
      </c>
      <c r="T6" s="282">
        <f>place!P26*100</f>
        <v>2.8696878569142825</v>
      </c>
      <c r="U6" s="282">
        <f>(inflacija!J14+nezaposlenost!X19)-(inflacija!J10+nezaposlenost!X15)</f>
        <v>-0.62207236334623772</v>
      </c>
      <c r="V6" s="282"/>
      <c r="W6" s="282">
        <f>krediti!J14</f>
        <v>14.649778309674577</v>
      </c>
      <c r="AF6" s="280"/>
      <c r="AG6" s="280"/>
      <c r="AH6" s="280"/>
      <c r="AI6" s="280"/>
      <c r="AK6" s="288" t="s">
        <v>950</v>
      </c>
    </row>
    <row r="7" spans="1:37" s="281" customFormat="1" outlineLevel="1">
      <c r="A7" s="280"/>
      <c r="B7" s="280"/>
      <c r="C7" s="280"/>
      <c r="D7" s="294">
        <v>38077</v>
      </c>
      <c r="E7" s="282">
        <v>13.222190284564533</v>
      </c>
      <c r="F7" s="282">
        <f>place!B27*100</f>
        <v>5.4262553136249725</v>
      </c>
      <c r="G7" s="282">
        <f>(inflacija!C15+nezaposlenost!V20)-(inflacija!C11+nezaposlenost!V16)</f>
        <v>-0.57742797281100522</v>
      </c>
      <c r="H7" s="282">
        <v>-0.37000000000000011</v>
      </c>
      <c r="I7" s="282">
        <f>krediti!H15</f>
        <v>10.384637360180605</v>
      </c>
      <c r="J7" s="283"/>
      <c r="K7" s="294">
        <v>38077</v>
      </c>
      <c r="L7" s="282">
        <v>13.222190284564533</v>
      </c>
      <c r="M7" s="282">
        <f>place!I27*100</f>
        <v>5.4262553136249725</v>
      </c>
      <c r="N7" s="282">
        <f>(inflacija!G15+nezaposlenost!W20)-(inflacija!G11+nezaposlenost!W16)</f>
        <v>-0.57742797281100522</v>
      </c>
      <c r="O7" s="282">
        <v>-0.37000000000000011</v>
      </c>
      <c r="P7" s="282">
        <f>krediti!I15</f>
        <v>10.384637360180605</v>
      </c>
      <c r="Q7" s="283"/>
      <c r="R7" s="294">
        <v>38077</v>
      </c>
      <c r="S7" s="282">
        <v>13.222190284564533</v>
      </c>
      <c r="T7" s="282">
        <f>place!P27*100</f>
        <v>5.4262553136249725</v>
      </c>
      <c r="U7" s="282">
        <f>(inflacija!J15+nezaposlenost!X20)-(inflacija!J11+nezaposlenost!X16)</f>
        <v>-0.57742797281100522</v>
      </c>
      <c r="V7" s="282">
        <v>-0.37000000000000011</v>
      </c>
      <c r="W7" s="282">
        <f>krediti!J15</f>
        <v>10.384637360180605</v>
      </c>
      <c r="AF7" s="280"/>
      <c r="AG7" s="280"/>
      <c r="AH7" s="280"/>
      <c r="AI7" s="280"/>
      <c r="AK7" s="288" t="s">
        <v>949</v>
      </c>
    </row>
    <row r="8" spans="1:37" s="281" customFormat="1" outlineLevel="1">
      <c r="A8" s="280"/>
      <c r="B8" s="280"/>
      <c r="C8" s="280"/>
      <c r="D8" s="294">
        <v>38168</v>
      </c>
      <c r="E8" s="282">
        <v>13.703031149601898</v>
      </c>
      <c r="F8" s="282">
        <f>place!B28*100</f>
        <v>6.6121885122037982</v>
      </c>
      <c r="G8" s="282">
        <f>(inflacija!C16+nezaposlenost!V21)-(inflacija!C12+nezaposlenost!V17)</f>
        <v>0.23444515468885996</v>
      </c>
      <c r="H8" s="282">
        <v>-1</v>
      </c>
      <c r="I8" s="282">
        <f>krediti!H16</f>
        <v>12.316470325074613</v>
      </c>
      <c r="J8" s="283"/>
      <c r="K8" s="294">
        <v>38168</v>
      </c>
      <c r="L8" s="282">
        <v>13.703031149601898</v>
      </c>
      <c r="M8" s="282">
        <f>place!I28*100</f>
        <v>6.6121885122037982</v>
      </c>
      <c r="N8" s="282">
        <f>(inflacija!G16+nezaposlenost!W21)-(inflacija!G12+nezaposlenost!W17)</f>
        <v>0.23444515468885996</v>
      </c>
      <c r="O8" s="282">
        <v>-1</v>
      </c>
      <c r="P8" s="282">
        <f>krediti!I16</f>
        <v>12.316470325074613</v>
      </c>
      <c r="Q8" s="283"/>
      <c r="R8" s="294">
        <v>38168</v>
      </c>
      <c r="S8" s="282">
        <v>13.703031149601898</v>
      </c>
      <c r="T8" s="282">
        <f>place!P28*100</f>
        <v>6.6121885122037982</v>
      </c>
      <c r="U8" s="282">
        <f>(inflacija!J16+nezaposlenost!X21)-(inflacija!J12+nezaposlenost!X17)</f>
        <v>0.23444515468885996</v>
      </c>
      <c r="V8" s="282">
        <v>-1</v>
      </c>
      <c r="W8" s="282">
        <f>krediti!J16</f>
        <v>12.316470325074613</v>
      </c>
      <c r="AF8" s="280"/>
      <c r="AG8" s="280"/>
      <c r="AH8" s="280"/>
      <c r="AI8" s="280"/>
      <c r="AK8" s="289"/>
    </row>
    <row r="9" spans="1:37" s="281" customFormat="1" outlineLevel="1">
      <c r="A9" s="280"/>
      <c r="B9" s="280"/>
      <c r="C9" s="280"/>
      <c r="D9" s="294">
        <v>38260</v>
      </c>
      <c r="E9" s="282">
        <v>16.505391208183568</v>
      </c>
      <c r="F9" s="282">
        <f>place!B29*100</f>
        <v>6.3933945927444613</v>
      </c>
      <c r="G9" s="282">
        <f>(inflacija!C17+nezaposlenost!V22)-(inflacija!C13+nezaposlenost!V18)</f>
        <v>1.5312629607578856</v>
      </c>
      <c r="H9" s="282">
        <v>-1.3699999999999992</v>
      </c>
      <c r="I9" s="282">
        <f>krediti!H17</f>
        <v>12.664669131773598</v>
      </c>
      <c r="J9" s="283"/>
      <c r="K9" s="294">
        <v>38260</v>
      </c>
      <c r="L9" s="282">
        <v>16.505391208183568</v>
      </c>
      <c r="M9" s="282">
        <f>place!I29*100</f>
        <v>6.3933945927444613</v>
      </c>
      <c r="N9" s="282">
        <f>(inflacija!G17+nezaposlenost!W22)-(inflacija!G13+nezaposlenost!W18)</f>
        <v>1.5312629607578856</v>
      </c>
      <c r="O9" s="282">
        <v>-1.3699999999999992</v>
      </c>
      <c r="P9" s="282">
        <f>krediti!I17</f>
        <v>12.664669131773598</v>
      </c>
      <c r="Q9" s="283"/>
      <c r="R9" s="294">
        <v>38260</v>
      </c>
      <c r="S9" s="282">
        <v>16.505391208183568</v>
      </c>
      <c r="T9" s="282">
        <f>place!P29*100</f>
        <v>6.3933945927444613</v>
      </c>
      <c r="U9" s="282">
        <f>(inflacija!J17+nezaposlenost!X22)-(inflacija!J13+nezaposlenost!X18)</f>
        <v>1.5312629607578856</v>
      </c>
      <c r="V9" s="282">
        <v>-1.3699999999999992</v>
      </c>
      <c r="W9" s="282">
        <f>krediti!J17</f>
        <v>12.664669131773598</v>
      </c>
      <c r="AF9" s="280"/>
      <c r="AG9" s="280"/>
      <c r="AH9" s="280"/>
      <c r="AI9" s="280"/>
      <c r="AK9" s="288" t="s">
        <v>193</v>
      </c>
    </row>
    <row r="10" spans="1:37" s="281" customFormat="1" outlineLevel="1">
      <c r="A10" s="280"/>
      <c r="B10" s="280"/>
      <c r="C10" s="280"/>
      <c r="D10" s="294">
        <v>38352</v>
      </c>
      <c r="E10" s="282">
        <v>15.799689440993788</v>
      </c>
      <c r="F10" s="282">
        <f>place!B30*100</f>
        <v>6.332888023447758</v>
      </c>
      <c r="G10" s="282">
        <f>(inflacija!C18+nezaposlenost!V23)-(inflacija!C14+nezaposlenost!V19)</f>
        <v>-0.30955246341255105</v>
      </c>
      <c r="H10" s="282">
        <v>-0.30999999999999961</v>
      </c>
      <c r="I10" s="282">
        <f>krediti!H18</f>
        <v>14.155481335172325</v>
      </c>
      <c r="J10" s="283"/>
      <c r="K10" s="294">
        <v>38352</v>
      </c>
      <c r="L10" s="282">
        <v>15.799689440993788</v>
      </c>
      <c r="M10" s="282">
        <f>place!I30*100</f>
        <v>6.332888023447758</v>
      </c>
      <c r="N10" s="282">
        <f>(inflacija!G18+nezaposlenost!W23)-(inflacija!G14+nezaposlenost!W19)</f>
        <v>-0.30955246341255105</v>
      </c>
      <c r="O10" s="282">
        <v>-0.30999999999999961</v>
      </c>
      <c r="P10" s="282">
        <f>krediti!I18</f>
        <v>14.155481335172325</v>
      </c>
      <c r="Q10" s="283"/>
      <c r="R10" s="294">
        <v>38352</v>
      </c>
      <c r="S10" s="282">
        <v>15.799689440993788</v>
      </c>
      <c r="T10" s="282">
        <f>place!P30*100</f>
        <v>6.332888023447758</v>
      </c>
      <c r="U10" s="282">
        <f>(inflacija!J18+nezaposlenost!X23)-(inflacija!J14+nezaposlenost!X19)</f>
        <v>-0.30955246341255105</v>
      </c>
      <c r="V10" s="282">
        <v>-0.30999999999999961</v>
      </c>
      <c r="W10" s="282">
        <f>krediti!J18</f>
        <v>14.155481335172325</v>
      </c>
      <c r="AF10" s="280"/>
      <c r="AG10" s="280"/>
      <c r="AH10" s="280"/>
      <c r="AI10" s="280"/>
      <c r="AK10" s="288" t="s">
        <v>948</v>
      </c>
    </row>
    <row r="11" spans="1:37" s="281" customFormat="1" outlineLevel="1">
      <c r="A11" s="280"/>
      <c r="B11" s="280"/>
      <c r="C11" s="280"/>
      <c r="D11" s="294">
        <v>38442</v>
      </c>
      <c r="E11" s="282">
        <v>13.632901751713632</v>
      </c>
      <c r="F11" s="282">
        <f>place!B31*100</f>
        <v>4.7608096954072643</v>
      </c>
      <c r="G11" s="282">
        <f>(inflacija!C19+nezaposlenost!V24)-(inflacija!C15+nezaposlenost!V20)</f>
        <v>3.4405427989386759</v>
      </c>
      <c r="H11" s="282">
        <v>-1.3699999999999992</v>
      </c>
      <c r="I11" s="282">
        <f>krediti!H19</f>
        <v>13.32149727629437</v>
      </c>
      <c r="J11" s="283"/>
      <c r="K11" s="294">
        <v>38442</v>
      </c>
      <c r="L11" s="282">
        <v>13.632901751713632</v>
      </c>
      <c r="M11" s="282">
        <f>place!I31*100</f>
        <v>4.7608096954072643</v>
      </c>
      <c r="N11" s="282">
        <f>(inflacija!G19+nezaposlenost!W24)-(inflacija!G15+nezaposlenost!W20)</f>
        <v>3.4405427989386759</v>
      </c>
      <c r="O11" s="282">
        <v>-1.3699999999999992</v>
      </c>
      <c r="P11" s="282">
        <f>krediti!I19</f>
        <v>13.32149727629437</v>
      </c>
      <c r="Q11" s="283"/>
      <c r="R11" s="294">
        <v>38442</v>
      </c>
      <c r="S11" s="282">
        <v>13.632901751713632</v>
      </c>
      <c r="T11" s="282">
        <f>place!P31*100</f>
        <v>4.7608096954072643</v>
      </c>
      <c r="U11" s="282">
        <f>(inflacija!J19+nezaposlenost!X24)-(inflacija!J15+nezaposlenost!X20)</f>
        <v>3.4405427989386759</v>
      </c>
      <c r="V11" s="282">
        <v>-1.3699999999999992</v>
      </c>
      <c r="W11" s="282">
        <f>krediti!J19</f>
        <v>13.32149727629437</v>
      </c>
      <c r="AF11" s="280"/>
      <c r="AG11" s="280"/>
      <c r="AH11" s="280"/>
      <c r="AI11" s="280"/>
      <c r="AK11" s="288" t="s">
        <v>947</v>
      </c>
    </row>
    <row r="12" spans="1:37" s="281" customFormat="1" outlineLevel="1">
      <c r="A12" s="280"/>
      <c r="B12" s="280"/>
      <c r="C12" s="280"/>
      <c r="D12" s="294">
        <v>38533</v>
      </c>
      <c r="E12" s="282">
        <v>14.594594594594582</v>
      </c>
      <c r="F12" s="282">
        <f>place!B32*100</f>
        <v>5.2845531415469882</v>
      </c>
      <c r="G12" s="282">
        <f>(inflacija!C20+nezaposlenost!V25)-(inflacija!C16+nezaposlenost!V21)</f>
        <v>1.2160220650440685</v>
      </c>
      <c r="H12" s="282">
        <v>-1</v>
      </c>
      <c r="I12" s="282">
        <f>krediti!H20</f>
        <v>14.731427300288447</v>
      </c>
      <c r="J12" s="283"/>
      <c r="K12" s="294">
        <v>38533</v>
      </c>
      <c r="L12" s="282">
        <v>14.594594594594582</v>
      </c>
      <c r="M12" s="282">
        <f>place!I32*100</f>
        <v>5.2845531415469882</v>
      </c>
      <c r="N12" s="282">
        <f>(inflacija!G20+nezaposlenost!W25)-(inflacija!G16+nezaposlenost!W21)</f>
        <v>1.2160220650440685</v>
      </c>
      <c r="O12" s="282">
        <v>-1</v>
      </c>
      <c r="P12" s="282">
        <f>krediti!I20</f>
        <v>14.731427300288447</v>
      </c>
      <c r="Q12" s="283"/>
      <c r="R12" s="294">
        <v>38533</v>
      </c>
      <c r="S12" s="282">
        <v>14.594594594594582</v>
      </c>
      <c r="T12" s="282">
        <f>place!P32*100</f>
        <v>5.2845531415469882</v>
      </c>
      <c r="U12" s="282">
        <f>(inflacija!J20+nezaposlenost!X25)-(inflacija!J16+nezaposlenost!X21)</f>
        <v>1.2160220650440685</v>
      </c>
      <c r="V12" s="282">
        <v>-1</v>
      </c>
      <c r="W12" s="282">
        <f>krediti!J20</f>
        <v>14.731427300288447</v>
      </c>
      <c r="AF12" s="280"/>
      <c r="AG12" s="280"/>
      <c r="AH12" s="280"/>
      <c r="AI12" s="280"/>
      <c r="AK12" s="288" t="s">
        <v>946</v>
      </c>
    </row>
    <row r="13" spans="1:37" s="281" customFormat="1" outlineLevel="1">
      <c r="A13" s="280"/>
      <c r="B13" s="280"/>
      <c r="C13" s="280"/>
      <c r="D13" s="294">
        <v>38625</v>
      </c>
      <c r="E13" s="282">
        <v>12.529663028001892</v>
      </c>
      <c r="F13" s="282">
        <f>place!B33*100</f>
        <v>4.4342728707009949</v>
      </c>
      <c r="G13" s="282">
        <f>(inflacija!C21+nezaposlenost!V26)-(inflacija!C17+nezaposlenost!V22)</f>
        <v>-2.0726624596397265</v>
      </c>
      <c r="H13" s="282">
        <v>-0.61000000000000032</v>
      </c>
      <c r="I13" s="282">
        <f>krediti!H21</f>
        <v>16.93765887210763</v>
      </c>
      <c r="J13" s="283"/>
      <c r="K13" s="294">
        <v>38625</v>
      </c>
      <c r="L13" s="282">
        <v>12.529663028001892</v>
      </c>
      <c r="M13" s="282">
        <f>place!I33*100</f>
        <v>4.4342728707009949</v>
      </c>
      <c r="N13" s="282">
        <f>(inflacija!G21+nezaposlenost!W26)-(inflacija!G17+nezaposlenost!W22)</f>
        <v>-2.0726624596397265</v>
      </c>
      <c r="O13" s="282">
        <v>-0.61000000000000032</v>
      </c>
      <c r="P13" s="282">
        <f>krediti!I21</f>
        <v>16.93765887210763</v>
      </c>
      <c r="Q13" s="283"/>
      <c r="R13" s="294">
        <v>38625</v>
      </c>
      <c r="S13" s="282">
        <v>12.529663028001892</v>
      </c>
      <c r="T13" s="282">
        <f>place!P33*100</f>
        <v>4.4342728707009949</v>
      </c>
      <c r="U13" s="282">
        <f>(inflacija!J21+nezaposlenost!X26)-(inflacija!J17+nezaposlenost!X22)</f>
        <v>-2.0726624596397265</v>
      </c>
      <c r="V13" s="282">
        <v>-0.61000000000000032</v>
      </c>
      <c r="W13" s="282">
        <f>krediti!J21</f>
        <v>16.93765887210763</v>
      </c>
      <c r="AF13" s="280"/>
      <c r="AG13" s="280"/>
      <c r="AH13" s="280"/>
      <c r="AI13" s="280"/>
      <c r="AK13" s="288" t="s">
        <v>945</v>
      </c>
    </row>
    <row r="14" spans="1:37" s="281" customFormat="1" outlineLevel="1">
      <c r="A14" s="280"/>
      <c r="B14" s="280"/>
      <c r="C14" s="280"/>
      <c r="D14" s="294">
        <v>38717</v>
      </c>
      <c r="E14" s="282">
        <v>11.353223823890943</v>
      </c>
      <c r="F14" s="282">
        <f>place!B34*100</f>
        <v>5.0433574272420678</v>
      </c>
      <c r="G14" s="282">
        <f>(inflacija!C22+nezaposlenost!V27)-(inflacija!C18+nezaposlenost!V23)</f>
        <v>-0.5456723803418484</v>
      </c>
      <c r="H14" s="282">
        <v>-0.75999999999999979</v>
      </c>
      <c r="I14" s="282">
        <f>krediti!H22</f>
        <v>17.278977973044761</v>
      </c>
      <c r="J14" s="283"/>
      <c r="K14" s="294">
        <v>38717</v>
      </c>
      <c r="L14" s="282">
        <v>11.353223823890943</v>
      </c>
      <c r="M14" s="282">
        <f>place!I34*100</f>
        <v>5.0433574272420678</v>
      </c>
      <c r="N14" s="282">
        <f>(inflacija!G22+nezaposlenost!W27)-(inflacija!G18+nezaposlenost!W23)</f>
        <v>-0.5456723803418484</v>
      </c>
      <c r="O14" s="282">
        <v>-0.75999999999999979</v>
      </c>
      <c r="P14" s="282">
        <f>krediti!I22</f>
        <v>17.278977973044761</v>
      </c>
      <c r="Q14" s="283"/>
      <c r="R14" s="294">
        <v>38717</v>
      </c>
      <c r="S14" s="282">
        <v>11.353223823890943</v>
      </c>
      <c r="T14" s="282">
        <f>place!P34*100</f>
        <v>5.0433574272420678</v>
      </c>
      <c r="U14" s="282">
        <f>(inflacija!J22+nezaposlenost!X27)-(inflacija!J18+nezaposlenost!X23)</f>
        <v>-0.5456723803418484</v>
      </c>
      <c r="V14" s="282">
        <v>-0.75999999999999979</v>
      </c>
      <c r="W14" s="282">
        <f>krediti!J22</f>
        <v>17.278977973044761</v>
      </c>
      <c r="AF14" s="280"/>
      <c r="AG14" s="280"/>
      <c r="AH14" s="280"/>
      <c r="AI14" s="280"/>
      <c r="AK14" s="288" t="s">
        <v>944</v>
      </c>
    </row>
    <row r="15" spans="1:37" s="281" customFormat="1" outlineLevel="1">
      <c r="A15" s="280"/>
      <c r="B15" s="280"/>
      <c r="C15" s="280"/>
      <c r="D15" s="294">
        <v>38807</v>
      </c>
      <c r="E15" s="282">
        <v>15.77301161751565</v>
      </c>
      <c r="F15" s="282">
        <f>place!B35*100</f>
        <v>5.7728360329998507</v>
      </c>
      <c r="G15" s="282">
        <f>(inflacija!C23+nezaposlenost!V28)-(inflacija!C19+nezaposlenost!V24)</f>
        <v>-3.1692964431088484</v>
      </c>
      <c r="H15" s="282">
        <v>-0.54</v>
      </c>
      <c r="I15" s="282">
        <f>krediti!H23</f>
        <v>22.299405752243008</v>
      </c>
      <c r="J15" s="283"/>
      <c r="K15" s="294">
        <v>38807</v>
      </c>
      <c r="L15" s="282">
        <v>15.77301161751565</v>
      </c>
      <c r="M15" s="282">
        <f>place!I35*100</f>
        <v>5.7728360329998507</v>
      </c>
      <c r="N15" s="282">
        <f>(inflacija!G23+nezaposlenost!W28)-(inflacija!G19+nezaposlenost!W24)</f>
        <v>-3.1692964431088484</v>
      </c>
      <c r="O15" s="282">
        <v>-0.54</v>
      </c>
      <c r="P15" s="282">
        <f>krediti!I23</f>
        <v>22.299405752243008</v>
      </c>
      <c r="Q15" s="283"/>
      <c r="R15" s="294">
        <v>38807</v>
      </c>
      <c r="S15" s="282">
        <v>15.77301161751565</v>
      </c>
      <c r="T15" s="282">
        <f>place!P35*100</f>
        <v>5.7728360329998507</v>
      </c>
      <c r="U15" s="282">
        <f>(inflacija!J23+nezaposlenost!X28)-(inflacija!J19+nezaposlenost!X24)</f>
        <v>-3.1692964431088484</v>
      </c>
      <c r="V15" s="282">
        <v>-0.54</v>
      </c>
      <c r="W15" s="282">
        <f>krediti!J23</f>
        <v>22.299405752243008</v>
      </c>
      <c r="AF15" s="280"/>
      <c r="AG15" s="280"/>
      <c r="AH15" s="280"/>
      <c r="AI15" s="280"/>
      <c r="AK15" s="288" t="s">
        <v>943</v>
      </c>
    </row>
    <row r="16" spans="1:37" s="281" customFormat="1" outlineLevel="1">
      <c r="A16" s="280"/>
      <c r="B16" s="280"/>
      <c r="C16" s="280"/>
      <c r="D16" s="294">
        <v>38898</v>
      </c>
      <c r="E16" s="282">
        <v>12.650085763293319</v>
      </c>
      <c r="F16" s="282">
        <f>place!B36*100</f>
        <v>6.0269007667216101</v>
      </c>
      <c r="G16" s="282">
        <f>(inflacija!C24+nezaposlenost!V29)-(inflacija!C20+nezaposlenost!V25)</f>
        <v>-1.6137195246277187</v>
      </c>
      <c r="H16" s="282">
        <v>-0.28999999999999915</v>
      </c>
      <c r="I16" s="282">
        <f>krediti!H24</f>
        <v>23.300449534493083</v>
      </c>
      <c r="J16" s="283"/>
      <c r="K16" s="294">
        <v>38898</v>
      </c>
      <c r="L16" s="282">
        <v>12.650085763293319</v>
      </c>
      <c r="M16" s="282">
        <f>place!I36*100</f>
        <v>6.0269007667216101</v>
      </c>
      <c r="N16" s="282">
        <f>(inflacija!G24+nezaposlenost!W29)-(inflacija!G20+nezaposlenost!W25)</f>
        <v>-1.6137195246277187</v>
      </c>
      <c r="O16" s="282">
        <v>-0.28999999999999915</v>
      </c>
      <c r="P16" s="282">
        <f>krediti!I24</f>
        <v>23.300449534493083</v>
      </c>
      <c r="Q16" s="283"/>
      <c r="R16" s="294">
        <v>38898</v>
      </c>
      <c r="S16" s="282">
        <v>12.650085763293319</v>
      </c>
      <c r="T16" s="282">
        <f>place!P36*100</f>
        <v>6.0269007667216101</v>
      </c>
      <c r="U16" s="282">
        <f>(inflacija!J24+nezaposlenost!X29)-(inflacija!J20+nezaposlenost!X25)</f>
        <v>-1.6137195246277187</v>
      </c>
      <c r="V16" s="282">
        <v>-0.28999999999999915</v>
      </c>
      <c r="W16" s="282">
        <f>krediti!J24</f>
        <v>23.300449534493083</v>
      </c>
      <c r="AF16" s="280"/>
      <c r="AG16" s="280"/>
      <c r="AH16" s="280"/>
      <c r="AI16" s="280"/>
      <c r="AK16" s="288" t="s">
        <v>942</v>
      </c>
    </row>
    <row r="17" spans="1:38" s="281" customFormat="1" outlineLevel="1">
      <c r="A17" s="280"/>
      <c r="B17" s="280"/>
      <c r="C17" s="280"/>
      <c r="D17" s="294">
        <v>38990</v>
      </c>
      <c r="E17" s="282">
        <v>13.443694643610286</v>
      </c>
      <c r="F17" s="282">
        <f>place!B37*100</f>
        <v>5.8846614563225597</v>
      </c>
      <c r="G17" s="282">
        <f>(inflacija!C25+nezaposlenost!V30)-(inflacija!C21+nezaposlenost!V26)</f>
        <v>-0.69452456858388345</v>
      </c>
      <c r="H17" s="282">
        <v>-0.25999999999999979</v>
      </c>
      <c r="I17" s="282">
        <f>krediti!H25</f>
        <v>22.631795556214552</v>
      </c>
      <c r="J17" s="283"/>
      <c r="K17" s="294">
        <v>38990</v>
      </c>
      <c r="L17" s="282">
        <v>13.443694643610286</v>
      </c>
      <c r="M17" s="282">
        <f>place!I37*100</f>
        <v>5.8846614563225597</v>
      </c>
      <c r="N17" s="282">
        <f>(inflacija!G25+nezaposlenost!W30)-(inflacija!G21+nezaposlenost!W26)</f>
        <v>-0.69452456858388345</v>
      </c>
      <c r="O17" s="282">
        <v>-0.25999999999999979</v>
      </c>
      <c r="P17" s="282">
        <f>krediti!I25</f>
        <v>22.631795556214552</v>
      </c>
      <c r="Q17" s="283"/>
      <c r="R17" s="294">
        <v>38990</v>
      </c>
      <c r="S17" s="282">
        <v>13.443694643610286</v>
      </c>
      <c r="T17" s="282">
        <f>place!P37*100</f>
        <v>5.8846614563225597</v>
      </c>
      <c r="U17" s="282">
        <f>(inflacija!J25+nezaposlenost!X30)-(inflacija!J21+nezaposlenost!X26)</f>
        <v>-0.69452456858388345</v>
      </c>
      <c r="V17" s="282">
        <v>-0.25999999999999979</v>
      </c>
      <c r="W17" s="282">
        <f>krediti!J25</f>
        <v>22.631795556214552</v>
      </c>
      <c r="AF17" s="280"/>
      <c r="AG17" s="280"/>
      <c r="AH17" s="280"/>
      <c r="AI17" s="280"/>
      <c r="AK17" s="288" t="s">
        <v>941</v>
      </c>
    </row>
    <row r="18" spans="1:38" s="281" customFormat="1" outlineLevel="1">
      <c r="A18" s="280"/>
      <c r="B18" s="280"/>
      <c r="C18" s="280"/>
      <c r="D18" s="294">
        <v>39082</v>
      </c>
      <c r="E18" s="282">
        <v>15.253386853988957</v>
      </c>
      <c r="F18" s="282">
        <f>place!B38*100</f>
        <v>7.9200915330848387</v>
      </c>
      <c r="G18" s="282">
        <f>(inflacija!C26+nezaposlenost!V31)-(inflacija!C22+nezaposlenost!V27)</f>
        <v>-2.696073489551452</v>
      </c>
      <c r="H18" s="282">
        <v>-0.20000000000000018</v>
      </c>
      <c r="I18" s="282">
        <f>krediti!H26</f>
        <v>23.327638624370529</v>
      </c>
      <c r="J18" s="283"/>
      <c r="K18" s="294">
        <v>39082</v>
      </c>
      <c r="L18" s="282">
        <v>15.253386853988957</v>
      </c>
      <c r="M18" s="282">
        <f>place!I38*100</f>
        <v>7.9200915330848387</v>
      </c>
      <c r="N18" s="282">
        <f>(inflacija!G26+nezaposlenost!W31)-(inflacija!G22+nezaposlenost!W27)</f>
        <v>-2.696073489551452</v>
      </c>
      <c r="O18" s="282">
        <v>-0.20000000000000018</v>
      </c>
      <c r="P18" s="282">
        <f>krediti!I26</f>
        <v>23.327638624370529</v>
      </c>
      <c r="Q18" s="283"/>
      <c r="R18" s="294">
        <v>39082</v>
      </c>
      <c r="S18" s="282">
        <v>15.253386853988957</v>
      </c>
      <c r="T18" s="282">
        <f>place!P38*100</f>
        <v>7.9200915330848387</v>
      </c>
      <c r="U18" s="282">
        <f>(inflacija!J26+nezaposlenost!X31)-(inflacija!J22+nezaposlenost!X27)</f>
        <v>-2.696073489551452</v>
      </c>
      <c r="V18" s="282">
        <v>-0.20000000000000018</v>
      </c>
      <c r="W18" s="282">
        <f>krediti!J26</f>
        <v>23.327638624370529</v>
      </c>
      <c r="AF18" s="280"/>
      <c r="AG18" s="280"/>
      <c r="AH18" s="280"/>
      <c r="AI18" s="280"/>
      <c r="AK18" s="289"/>
    </row>
    <row r="19" spans="1:38" s="281" customFormat="1" outlineLevel="1">
      <c r="A19" s="280"/>
      <c r="B19" s="280"/>
      <c r="C19" s="280"/>
      <c r="D19" s="294">
        <v>39172</v>
      </c>
      <c r="E19" s="282">
        <v>14.164415283674245</v>
      </c>
      <c r="F19" s="282">
        <f>place!B39*100</f>
        <v>6.3324469093005042</v>
      </c>
      <c r="G19" s="282">
        <f>(inflacija!C27+nezaposlenost!V32)-(inflacija!C23+nezaposlenost!V28)</f>
        <v>-0.75327665220013174</v>
      </c>
      <c r="H19" s="282">
        <v>-3.0000000000000249E-2</v>
      </c>
      <c r="I19" s="282">
        <f>krediti!H27</f>
        <v>22.744249383353999</v>
      </c>
      <c r="J19" s="283"/>
      <c r="K19" s="294">
        <v>39172</v>
      </c>
      <c r="L19" s="282">
        <v>14.164415283674245</v>
      </c>
      <c r="M19" s="282">
        <f>place!I39*100</f>
        <v>6.3324469093005042</v>
      </c>
      <c r="N19" s="282">
        <f>(inflacija!G27+nezaposlenost!W32)-(inflacija!G23+nezaposlenost!W28)</f>
        <v>-0.75327665220013174</v>
      </c>
      <c r="O19" s="282">
        <v>-3.0000000000000249E-2</v>
      </c>
      <c r="P19" s="282">
        <f>krediti!I27</f>
        <v>22.744249383353999</v>
      </c>
      <c r="Q19" s="283"/>
      <c r="R19" s="294">
        <v>39172</v>
      </c>
      <c r="S19" s="282">
        <v>14.164415283674245</v>
      </c>
      <c r="T19" s="282">
        <f>place!P39*100</f>
        <v>6.3324469093005042</v>
      </c>
      <c r="U19" s="282">
        <f>(inflacija!J27+nezaposlenost!X32)-(inflacija!J23+nezaposlenost!X28)</f>
        <v>-0.75327665220013174</v>
      </c>
      <c r="V19" s="282">
        <v>-3.0000000000000249E-2</v>
      </c>
      <c r="W19" s="282">
        <f>krediti!J27</f>
        <v>22.744249383353999</v>
      </c>
      <c r="AF19" s="280"/>
      <c r="AG19" s="280"/>
      <c r="AH19" s="280"/>
      <c r="AI19" s="280"/>
      <c r="AK19" s="288" t="s">
        <v>940</v>
      </c>
    </row>
    <row r="20" spans="1:38" s="281" customFormat="1" outlineLevel="1">
      <c r="A20" s="280"/>
      <c r="B20" s="280"/>
      <c r="C20" s="280"/>
      <c r="D20" s="294">
        <v>39263</v>
      </c>
      <c r="E20" s="282">
        <v>17.072706509326224</v>
      </c>
      <c r="F20" s="282">
        <f>place!B40*100</f>
        <v>4.9892829099720926</v>
      </c>
      <c r="G20" s="282">
        <f>(inflacija!C28+nezaposlenost!V33)-(inflacija!C24+nezaposlenost!V29)</f>
        <v>-2.4786523028781318</v>
      </c>
      <c r="H20" s="282">
        <v>0.12999999999999989</v>
      </c>
      <c r="I20" s="282">
        <f>krediti!H28</f>
        <v>21.600186313204329</v>
      </c>
      <c r="J20" s="283"/>
      <c r="K20" s="294">
        <v>39263</v>
      </c>
      <c r="L20" s="282">
        <v>17.072706509326224</v>
      </c>
      <c r="M20" s="282">
        <f>place!I40*100</f>
        <v>4.9892829099720926</v>
      </c>
      <c r="N20" s="282">
        <f>(inflacija!G28+nezaposlenost!W33)-(inflacija!G24+nezaposlenost!W29)</f>
        <v>-2.4786523028781318</v>
      </c>
      <c r="O20" s="282">
        <v>0.12999999999999989</v>
      </c>
      <c r="P20" s="282">
        <f>krediti!I28</f>
        <v>21.600186313204329</v>
      </c>
      <c r="Q20" s="283"/>
      <c r="R20" s="294">
        <v>39263</v>
      </c>
      <c r="S20" s="282">
        <v>17.072706509326224</v>
      </c>
      <c r="T20" s="282">
        <f>place!P40*100</f>
        <v>4.9892829099720926</v>
      </c>
      <c r="U20" s="282">
        <f>(inflacija!J28+nezaposlenost!X33)-(inflacija!J24+nezaposlenost!X29)</f>
        <v>-2.4786523028781318</v>
      </c>
      <c r="V20" s="282">
        <v>0.12999999999999989</v>
      </c>
      <c r="W20" s="282">
        <f>krediti!J28</f>
        <v>21.600186313204329</v>
      </c>
      <c r="AF20" s="280"/>
      <c r="AG20" s="280"/>
      <c r="AH20" s="280"/>
      <c r="AI20" s="280"/>
      <c r="AK20" s="288" t="s">
        <v>939</v>
      </c>
    </row>
    <row r="21" spans="1:38" s="281" customFormat="1" outlineLevel="1">
      <c r="A21" s="280"/>
      <c r="B21" s="280"/>
      <c r="C21" s="286"/>
      <c r="D21" s="294">
        <v>39355</v>
      </c>
      <c r="E21" s="282">
        <v>16.256157635467972</v>
      </c>
      <c r="F21" s="282">
        <f>place!B41*100</f>
        <v>6.2322299451748053</v>
      </c>
      <c r="G21" s="282">
        <f>(inflacija!C29+nezaposlenost!V34)-(inflacija!C25+nezaposlenost!V30)</f>
        <v>0.79893787367101154</v>
      </c>
      <c r="H21" s="282">
        <v>9.9999999999999645E-2</v>
      </c>
      <c r="I21" s="282">
        <f>krediti!H29</f>
        <v>17.762938152163123</v>
      </c>
      <c r="J21" s="283"/>
      <c r="K21" s="294">
        <v>39355</v>
      </c>
      <c r="L21" s="282">
        <v>16.256157635467972</v>
      </c>
      <c r="M21" s="282">
        <f>place!I41*100</f>
        <v>6.2322299451748053</v>
      </c>
      <c r="N21" s="282">
        <f>(inflacija!G29+nezaposlenost!W34)-(inflacija!G25+nezaposlenost!W30)</f>
        <v>0.79893787367101154</v>
      </c>
      <c r="O21" s="282">
        <v>9.9999999999999645E-2</v>
      </c>
      <c r="P21" s="282">
        <f>krediti!I29</f>
        <v>17.762938152163123</v>
      </c>
      <c r="Q21" s="283"/>
      <c r="R21" s="294">
        <v>39355</v>
      </c>
      <c r="S21" s="282">
        <v>16.256157635467972</v>
      </c>
      <c r="T21" s="282">
        <f>place!P41*100</f>
        <v>6.2322299451748053</v>
      </c>
      <c r="U21" s="282">
        <f>(inflacija!J29+nezaposlenost!X34)-(inflacija!J25+nezaposlenost!X30)</f>
        <v>0.79893787367101154</v>
      </c>
      <c r="V21" s="282">
        <v>9.9999999999999645E-2</v>
      </c>
      <c r="W21" s="282">
        <f>krediti!J29</f>
        <v>17.762938152163123</v>
      </c>
      <c r="AF21" s="280"/>
      <c r="AG21" s="280"/>
      <c r="AH21" s="280"/>
      <c r="AI21" s="280"/>
      <c r="AK21" s="288" t="s">
        <v>938</v>
      </c>
    </row>
    <row r="22" spans="1:38" s="281" customFormat="1" outlineLevel="1">
      <c r="A22" s="280"/>
      <c r="B22" s="280"/>
      <c r="C22" s="286"/>
      <c r="D22" s="294">
        <v>39447</v>
      </c>
      <c r="E22" s="282">
        <v>8.3761427949499421</v>
      </c>
      <c r="F22" s="282">
        <f>place!B42*100</f>
        <v>6.1425114097440225</v>
      </c>
      <c r="G22" s="282">
        <f>(inflacija!C30+nezaposlenost!V35)-(inflacija!C26+nezaposlenost!V31)</f>
        <v>6.5711441823970915</v>
      </c>
      <c r="H22" s="282">
        <v>0.37000000000000011</v>
      </c>
      <c r="I22" s="282">
        <f>krediti!H30</f>
        <v>15.363870394136892</v>
      </c>
      <c r="J22" s="283"/>
      <c r="K22" s="294">
        <v>39447</v>
      </c>
      <c r="L22" s="282">
        <v>8.3761427949499421</v>
      </c>
      <c r="M22" s="282">
        <f>place!I42*100</f>
        <v>6.1425114097440225</v>
      </c>
      <c r="N22" s="282">
        <f>(inflacija!G30+nezaposlenost!W35)-(inflacija!G26+nezaposlenost!W31)</f>
        <v>6.5711441823970915</v>
      </c>
      <c r="O22" s="282">
        <v>0.37000000000000011</v>
      </c>
      <c r="P22" s="282">
        <f>krediti!I30</f>
        <v>15.363870394136892</v>
      </c>
      <c r="Q22" s="283"/>
      <c r="R22" s="294">
        <v>39447</v>
      </c>
      <c r="S22" s="282">
        <v>8.3761427949499421</v>
      </c>
      <c r="T22" s="282">
        <f>place!P42*100</f>
        <v>6.1425114097440225</v>
      </c>
      <c r="U22" s="282">
        <f>(inflacija!J30+nezaposlenost!X35)-(inflacija!J26+nezaposlenost!X31)</f>
        <v>6.5711441823970915</v>
      </c>
      <c r="V22" s="282">
        <v>0.37000000000000011</v>
      </c>
      <c r="W22" s="282">
        <f>krediti!J30</f>
        <v>15.363870394136892</v>
      </c>
      <c r="AF22" s="280"/>
      <c r="AG22" s="280"/>
      <c r="AH22" s="280"/>
      <c r="AI22" s="280"/>
      <c r="AK22" s="287" t="s">
        <v>937</v>
      </c>
    </row>
    <row r="23" spans="1:38" s="281" customFormat="1" outlineLevel="1">
      <c r="A23" s="280"/>
      <c r="B23" s="280"/>
      <c r="C23" s="286"/>
      <c r="D23" s="294">
        <v>39538</v>
      </c>
      <c r="E23" s="282">
        <v>4.1159567275185935</v>
      </c>
      <c r="F23" s="282">
        <f>place!B43*100</f>
        <v>7.4754357187970744</v>
      </c>
      <c r="G23" s="282">
        <f>(inflacija!C31+nezaposlenost!V36)-(inflacija!C27+nezaposlenost!V32)</f>
        <v>-2.0487903157287981</v>
      </c>
      <c r="H23" s="282">
        <v>0.78000000000000025</v>
      </c>
      <c r="I23" s="282">
        <f>krediti!H31</f>
        <v>13.390549315164208</v>
      </c>
      <c r="J23" s="283"/>
      <c r="K23" s="294">
        <v>39538</v>
      </c>
      <c r="L23" s="282">
        <v>4.1159567275185935</v>
      </c>
      <c r="M23" s="282">
        <f>place!I43*100</f>
        <v>7.4754357187970744</v>
      </c>
      <c r="N23" s="282">
        <f>(inflacija!G31+nezaposlenost!W36)-(inflacija!G27+nezaposlenost!W32)</f>
        <v>-2.0487903157287981</v>
      </c>
      <c r="O23" s="282">
        <v>0.78000000000000025</v>
      </c>
      <c r="P23" s="282">
        <f>krediti!I31</f>
        <v>13.390549315164208</v>
      </c>
      <c r="Q23" s="283"/>
      <c r="R23" s="294">
        <v>39538</v>
      </c>
      <c r="S23" s="282">
        <v>4.1159567275185935</v>
      </c>
      <c r="T23" s="282">
        <f>place!P43*100</f>
        <v>7.4754357187970744</v>
      </c>
      <c r="U23" s="282">
        <f>(inflacija!J31+nezaposlenost!X36)-(inflacija!J27+nezaposlenost!X32)</f>
        <v>-2.0487903157287981</v>
      </c>
      <c r="V23" s="282">
        <v>0.78000000000000025</v>
      </c>
      <c r="W23" s="282">
        <f>krediti!J31</f>
        <v>13.390549315164208</v>
      </c>
      <c r="AF23" s="280"/>
      <c r="AG23" s="280"/>
      <c r="AH23" s="280"/>
      <c r="AI23" s="280"/>
    </row>
    <row r="24" spans="1:38" s="281" customFormat="1" outlineLevel="1">
      <c r="A24" s="280"/>
      <c r="B24" s="280"/>
      <c r="C24" s="286"/>
      <c r="D24" s="294">
        <v>39629</v>
      </c>
      <c r="E24" s="282">
        <v>0.80474719557797414</v>
      </c>
      <c r="F24" s="282">
        <f>place!B44*100</f>
        <v>8.4432599386018445</v>
      </c>
      <c r="G24" s="282">
        <f>(inflacija!C32+nezaposlenost!V37)-(inflacija!C28+nezaposlenost!V33)</f>
        <v>3.6782379555478393</v>
      </c>
      <c r="H24" s="282">
        <v>0.98999999999999932</v>
      </c>
      <c r="I24" s="282">
        <f>krediti!H32</f>
        <v>10.872020773374217</v>
      </c>
      <c r="J24" s="283"/>
      <c r="K24" s="294">
        <v>39629</v>
      </c>
      <c r="L24" s="282">
        <v>0.80474719557797414</v>
      </c>
      <c r="M24" s="282">
        <f>place!I44*100</f>
        <v>8.4432599386018445</v>
      </c>
      <c r="N24" s="282">
        <f>(inflacija!G32+nezaposlenost!W37)-(inflacija!G28+nezaposlenost!W33)</f>
        <v>3.6782379555478393</v>
      </c>
      <c r="O24" s="282">
        <v>0.98999999999999932</v>
      </c>
      <c r="P24" s="282">
        <f>krediti!I32</f>
        <v>10.872020773374217</v>
      </c>
      <c r="Q24" s="283"/>
      <c r="R24" s="294">
        <v>39629</v>
      </c>
      <c r="S24" s="282">
        <v>0.80474719557797414</v>
      </c>
      <c r="T24" s="282">
        <f>place!P44*100</f>
        <v>8.4432599386018445</v>
      </c>
      <c r="U24" s="282">
        <f>(inflacija!J32+nezaposlenost!X37)-(inflacija!J28+nezaposlenost!X33)</f>
        <v>3.6782379555478393</v>
      </c>
      <c r="V24" s="282">
        <v>0.98999999999999932</v>
      </c>
      <c r="W24" s="282">
        <f>krediti!J32</f>
        <v>10.872020773374217</v>
      </c>
      <c r="AF24" s="280"/>
      <c r="AG24" s="280"/>
      <c r="AH24" s="280"/>
      <c r="AI24" s="280"/>
      <c r="AL24" s="281" t="s">
        <v>936</v>
      </c>
    </row>
    <row r="25" spans="1:38" s="281" customFormat="1" outlineLevel="1">
      <c r="C25" s="286"/>
      <c r="D25" s="294">
        <v>39721</v>
      </c>
      <c r="E25" s="282">
        <v>1.0073552926127292</v>
      </c>
      <c r="F25" s="282">
        <f>place!B45*100</f>
        <v>6.9229336317290446</v>
      </c>
      <c r="G25" s="282">
        <f>(inflacija!C33+nezaposlenost!V38)-(inflacija!C29+nezaposlenost!V34)</f>
        <v>-1.9182953257804698</v>
      </c>
      <c r="H25" s="282">
        <v>1.0200000000000005</v>
      </c>
      <c r="I25" s="282">
        <f>krediti!H33</f>
        <v>12.041973135024406</v>
      </c>
      <c r="J25" s="283"/>
      <c r="K25" s="294">
        <v>39721</v>
      </c>
      <c r="L25" s="282">
        <v>1.0073552926127292</v>
      </c>
      <c r="M25" s="282">
        <f>place!I45*100</f>
        <v>6.9229336317290446</v>
      </c>
      <c r="N25" s="282">
        <f>(inflacija!G33+nezaposlenost!W38)-(inflacija!G29+nezaposlenost!W34)</f>
        <v>-1.9182953257804698</v>
      </c>
      <c r="O25" s="282">
        <v>1.0200000000000005</v>
      </c>
      <c r="P25" s="282">
        <f>krediti!I33</f>
        <v>12.041973135024406</v>
      </c>
      <c r="Q25" s="283"/>
      <c r="R25" s="294">
        <v>39721</v>
      </c>
      <c r="S25" s="282">
        <v>1.0073552926127292</v>
      </c>
      <c r="T25" s="282">
        <f>place!P45*100</f>
        <v>6.9229336317290446</v>
      </c>
      <c r="U25" s="282">
        <f>(inflacija!J33+nezaposlenost!X38)-(inflacija!J29+nezaposlenost!X34)</f>
        <v>-1.9182953257804698</v>
      </c>
      <c r="V25" s="282">
        <v>1.0200000000000005</v>
      </c>
      <c r="W25" s="282">
        <f>krediti!J33</f>
        <v>12.041973135024406</v>
      </c>
      <c r="AF25" s="280"/>
      <c r="AG25" s="280"/>
      <c r="AH25" s="280"/>
      <c r="AI25" s="280"/>
      <c r="AK25" s="281" t="s">
        <v>78</v>
      </c>
      <c r="AL25" s="281">
        <v>-0.84738298287399405</v>
      </c>
    </row>
    <row r="26" spans="1:38" s="281" customFormat="1" outlineLevel="1">
      <c r="C26" s="280"/>
      <c r="D26" s="294">
        <v>39813</v>
      </c>
      <c r="E26" s="282">
        <v>-1.1649393428135255</v>
      </c>
      <c r="F26" s="282">
        <f>place!B46*100</f>
        <v>5.6602970440929878</v>
      </c>
      <c r="G26" s="282">
        <f>(inflacija!C34+nezaposlenost!V39)-(inflacija!C30+nezaposlenost!V35)</f>
        <v>-9.3334355159947116</v>
      </c>
      <c r="H26" s="282">
        <v>0.96</v>
      </c>
      <c r="I26" s="282">
        <f>krediti!H34</f>
        <v>8.7039305515353931</v>
      </c>
      <c r="J26" s="283"/>
      <c r="K26" s="294">
        <v>39813</v>
      </c>
      <c r="L26" s="282">
        <v>-1.1649393428135255</v>
      </c>
      <c r="M26" s="282">
        <f>place!I46*100</f>
        <v>5.6602970440929878</v>
      </c>
      <c r="N26" s="282">
        <f>(inflacija!G34+nezaposlenost!W39)-(inflacija!G30+nezaposlenost!W35)</f>
        <v>-9.3334355159947116</v>
      </c>
      <c r="O26" s="282">
        <v>0.96</v>
      </c>
      <c r="P26" s="282">
        <f>krediti!I34</f>
        <v>8.7039305515353931</v>
      </c>
      <c r="Q26" s="283"/>
      <c r="R26" s="294">
        <v>39813</v>
      </c>
      <c r="S26" s="282">
        <v>-1.1649393428135255</v>
      </c>
      <c r="T26" s="282">
        <f>place!P46*100</f>
        <v>5.6602970440929878</v>
      </c>
      <c r="U26" s="282">
        <f>(inflacija!J34+nezaposlenost!X39)-(inflacija!J30+nezaposlenost!X35)</f>
        <v>-9.3334355159947116</v>
      </c>
      <c r="V26" s="282">
        <v>0.96</v>
      </c>
      <c r="W26" s="282">
        <f>krediti!J34</f>
        <v>8.7039305515353931</v>
      </c>
      <c r="AF26" s="280"/>
      <c r="AG26" s="280"/>
      <c r="AH26" s="280"/>
      <c r="AI26" s="280"/>
      <c r="AK26" s="281" t="s">
        <v>935</v>
      </c>
      <c r="AL26" s="281">
        <v>0.71677717792342399</v>
      </c>
    </row>
    <row r="27" spans="1:38" s="281" customFormat="1" outlineLevel="1">
      <c r="C27" s="280"/>
      <c r="D27" s="294">
        <v>39903</v>
      </c>
      <c r="E27" s="282">
        <v>-0.49517006250506768</v>
      </c>
      <c r="F27" s="282">
        <f>place!B47*100</f>
        <v>4.6324415493260274</v>
      </c>
      <c r="G27" s="282">
        <f>(inflacija!C35+nezaposlenost!V40)-(inflacija!C31+nezaposlenost!V36)</f>
        <v>0.67808342940353938</v>
      </c>
      <c r="H27" s="282">
        <v>0.54</v>
      </c>
      <c r="I27" s="282">
        <f>krediti!H35</f>
        <v>6.5478294595665005</v>
      </c>
      <c r="J27" s="283"/>
      <c r="K27" s="294">
        <v>39903</v>
      </c>
      <c r="L27" s="282">
        <v>-0.49517006250506768</v>
      </c>
      <c r="M27" s="282">
        <f>place!I47*100</f>
        <v>4.6324415493260274</v>
      </c>
      <c r="N27" s="282">
        <f>(inflacija!G35+nezaposlenost!W40)-(inflacija!G31+nezaposlenost!W36)</f>
        <v>0.67808342940353938</v>
      </c>
      <c r="O27" s="282">
        <v>0.54</v>
      </c>
      <c r="P27" s="282">
        <f>krediti!I35</f>
        <v>6.5478294595665005</v>
      </c>
      <c r="Q27" s="283"/>
      <c r="R27" s="294">
        <v>39903</v>
      </c>
      <c r="S27" s="282">
        <v>-0.49517006250506768</v>
      </c>
      <c r="T27" s="282">
        <f>place!P47*100</f>
        <v>4.6324415493260274</v>
      </c>
      <c r="U27" s="282">
        <f>(inflacija!J35+nezaposlenost!X40)-(inflacija!J31+nezaposlenost!X36)</f>
        <v>0.67808342940353938</v>
      </c>
      <c r="V27" s="282">
        <v>0.54</v>
      </c>
      <c r="W27" s="282">
        <f>krediti!J35</f>
        <v>6.5478294595665005</v>
      </c>
      <c r="AF27" s="280"/>
      <c r="AG27" s="280"/>
      <c r="AH27" s="280"/>
      <c r="AI27" s="280"/>
      <c r="AK27" s="281" t="s">
        <v>933</v>
      </c>
      <c r="AL27" s="281">
        <v>-0.39957549353223598</v>
      </c>
    </row>
    <row r="28" spans="1:38" s="281" customFormat="1" outlineLevel="1">
      <c r="C28" s="280"/>
      <c r="D28" s="294">
        <v>39994</v>
      </c>
      <c r="E28" s="282">
        <v>-4.4593177969518507</v>
      </c>
      <c r="F28" s="282">
        <f>place!B48*100</f>
        <v>2.4761213995123654</v>
      </c>
      <c r="G28" s="282">
        <f>(inflacija!C36+nezaposlenost!V41)-(inflacija!C32+nezaposlenost!V37)</f>
        <v>-1.8469890271174094</v>
      </c>
      <c r="H28" s="282">
        <v>0.4300000000000006</v>
      </c>
      <c r="I28" s="282">
        <f>krediti!H36</f>
        <v>3.4683884842165185</v>
      </c>
      <c r="J28" s="283"/>
      <c r="K28" s="294">
        <v>39994</v>
      </c>
      <c r="L28" s="282">
        <v>-4.4593177969518507</v>
      </c>
      <c r="M28" s="282">
        <f>place!I48*100</f>
        <v>2.4761213995123654</v>
      </c>
      <c r="N28" s="282">
        <f>(inflacija!G36+nezaposlenost!W41)-(inflacija!G32+nezaposlenost!W37)</f>
        <v>-1.8469890271174094</v>
      </c>
      <c r="O28" s="282">
        <v>0.4300000000000006</v>
      </c>
      <c r="P28" s="282">
        <f>krediti!I36</f>
        <v>3.4683884842165185</v>
      </c>
      <c r="Q28" s="283"/>
      <c r="R28" s="294">
        <v>39994</v>
      </c>
      <c r="S28" s="282">
        <v>-4.4593177969518507</v>
      </c>
      <c r="T28" s="282">
        <f>place!P48*100</f>
        <v>2.4761213995123654</v>
      </c>
      <c r="U28" s="282">
        <f>(inflacija!J36+nezaposlenost!X41)-(inflacija!J32+nezaposlenost!X37)</f>
        <v>-1.8469890271174094</v>
      </c>
      <c r="V28" s="282">
        <v>0.4300000000000006</v>
      </c>
      <c r="W28" s="282">
        <f>krediti!J36</f>
        <v>3.4683884842165185</v>
      </c>
      <c r="AF28" s="280"/>
      <c r="AG28" s="280"/>
      <c r="AH28" s="280"/>
      <c r="AI28" s="280"/>
      <c r="AK28" s="281" t="s">
        <v>932</v>
      </c>
      <c r="AL28" s="281">
        <v>-1.76652136977332</v>
      </c>
    </row>
    <row r="29" spans="1:38" s="281" customFormat="1" outlineLevel="1">
      <c r="C29" s="280"/>
      <c r="D29" s="294">
        <v>40086</v>
      </c>
      <c r="E29" s="282">
        <v>-7.8914041475383812</v>
      </c>
      <c r="F29" s="282">
        <f>place!B49*100</f>
        <v>1.6202029416767294</v>
      </c>
      <c r="G29" s="282">
        <f>(inflacija!C37+nezaposlenost!V42)-(inflacija!C33+nezaposlenost!V38)</f>
        <v>-4.9955280100461099</v>
      </c>
      <c r="H29" s="282">
        <v>0.5699999999999994</v>
      </c>
      <c r="I29" s="282">
        <f>krediti!H37</f>
        <v>-0.28058039842994731</v>
      </c>
      <c r="J29" s="283"/>
      <c r="K29" s="294">
        <v>40086</v>
      </c>
      <c r="L29" s="282">
        <v>-7.8914041475383812</v>
      </c>
      <c r="M29" s="282">
        <f>place!I49*100</f>
        <v>1.6202029416767294</v>
      </c>
      <c r="N29" s="282">
        <f>(inflacija!G37+nezaposlenost!W42)-(inflacija!G33+nezaposlenost!W38)</f>
        <v>-4.9955280100461099</v>
      </c>
      <c r="O29" s="282">
        <v>0.5699999999999994</v>
      </c>
      <c r="P29" s="282">
        <f>krediti!I37</f>
        <v>-0.28058039842994731</v>
      </c>
      <c r="Q29" s="283"/>
      <c r="R29" s="294">
        <v>40086</v>
      </c>
      <c r="S29" s="282">
        <v>-7.8914041475383812</v>
      </c>
      <c r="T29" s="282">
        <f>place!P49*100</f>
        <v>1.6202029416767294</v>
      </c>
      <c r="U29" s="282">
        <f>(inflacija!J37+nezaposlenost!X42)-(inflacija!J33+nezaposlenost!X38)</f>
        <v>-4.9955280100461099</v>
      </c>
      <c r="V29" s="282">
        <v>0.5699999999999994</v>
      </c>
      <c r="W29" s="282">
        <f>krediti!J37</f>
        <v>-0.28058039842994731</v>
      </c>
      <c r="AF29" s="280"/>
      <c r="AG29" s="280"/>
      <c r="AH29" s="280"/>
      <c r="AI29" s="280"/>
      <c r="AK29" s="281" t="s">
        <v>931</v>
      </c>
      <c r="AL29" s="281">
        <v>0.147096122931551</v>
      </c>
    </row>
    <row r="30" spans="1:38" s="281" customFormat="1" outlineLevel="1">
      <c r="A30" s="280"/>
      <c r="B30" s="280"/>
      <c r="C30" s="280"/>
      <c r="D30" s="294">
        <v>40178</v>
      </c>
      <c r="E30" s="282">
        <v>-7.1045358478296237</v>
      </c>
      <c r="F30" s="282">
        <f>place!B50*100</f>
        <v>-0.81159233077969795</v>
      </c>
      <c r="G30" s="282">
        <f>(inflacija!C38+nezaposlenost!V43)-(inflacija!C34+nezaposlenost!V39)</f>
        <v>-1.4882450419369704</v>
      </c>
      <c r="H30" s="282">
        <v>0.37000000000000011</v>
      </c>
      <c r="I30" s="282">
        <f>krediti!H38</f>
        <v>-0.33655687572895943</v>
      </c>
      <c r="J30" s="283"/>
      <c r="K30" s="294">
        <v>40178</v>
      </c>
      <c r="L30" s="282">
        <v>-7.1045358478296237</v>
      </c>
      <c r="M30" s="282">
        <f>place!I50*100</f>
        <v>-0.81159233077969795</v>
      </c>
      <c r="N30" s="282">
        <f>(inflacija!G38+nezaposlenost!W43)-(inflacija!G34+nezaposlenost!W39)</f>
        <v>-1.4882450419369704</v>
      </c>
      <c r="O30" s="282">
        <v>0.37000000000000011</v>
      </c>
      <c r="P30" s="282">
        <f>krediti!I38</f>
        <v>-0.33655687572895943</v>
      </c>
      <c r="Q30" s="283"/>
      <c r="R30" s="294">
        <v>40178</v>
      </c>
      <c r="S30" s="282">
        <v>-7.1045358478296237</v>
      </c>
      <c r="T30" s="282">
        <f>place!P50*100</f>
        <v>-0.81159233077969795</v>
      </c>
      <c r="U30" s="282">
        <f>(inflacija!J38+nezaposlenost!X43)-(inflacija!J34+nezaposlenost!X39)</f>
        <v>-1.4882450419369704</v>
      </c>
      <c r="V30" s="282">
        <v>0.37000000000000011</v>
      </c>
      <c r="W30" s="282">
        <f>krediti!J38</f>
        <v>-0.33655687572895943</v>
      </c>
      <c r="AF30" s="280"/>
      <c r="AG30" s="280"/>
      <c r="AH30" s="280"/>
      <c r="AI30" s="280"/>
    </row>
    <row r="31" spans="1:38" s="281" customFormat="1" outlineLevel="1">
      <c r="A31" s="280"/>
      <c r="B31" s="280"/>
      <c r="C31" s="280"/>
      <c r="D31" s="294">
        <v>40268</v>
      </c>
      <c r="E31" s="282">
        <v>-8.5739924946973503</v>
      </c>
      <c r="F31" s="282">
        <f>place!B51*100</f>
        <v>-1.8293632725485343</v>
      </c>
      <c r="G31" s="282">
        <f>(inflacija!C39+nezaposlenost!V44)-(inflacija!C35+nezaposlenost!V40)</f>
        <v>-1.0729315485501907</v>
      </c>
      <c r="H31" s="282">
        <v>0.21999999999999975</v>
      </c>
      <c r="I31" s="282">
        <f>krediti!H39</f>
        <v>0.63999509884550321</v>
      </c>
      <c r="J31" s="283"/>
      <c r="K31" s="294">
        <v>40268</v>
      </c>
      <c r="L31" s="282">
        <v>-8.5739924946973503</v>
      </c>
      <c r="M31" s="282">
        <f>place!I51*100</f>
        <v>-1.8293632725485343</v>
      </c>
      <c r="N31" s="282">
        <f>(inflacija!G39+nezaposlenost!W44)-(inflacija!G35+nezaposlenost!W40)</f>
        <v>-1.0729315485501907</v>
      </c>
      <c r="O31" s="282">
        <v>0.21999999999999975</v>
      </c>
      <c r="P31" s="282">
        <f>krediti!I39</f>
        <v>0.63999509884550321</v>
      </c>
      <c r="Q31" s="283"/>
      <c r="R31" s="294">
        <v>40268</v>
      </c>
      <c r="S31" s="282">
        <v>-8.5739924946973503</v>
      </c>
      <c r="T31" s="282">
        <f>place!P51*100</f>
        <v>-1.8293632725485343</v>
      </c>
      <c r="U31" s="282">
        <f>(inflacija!J39+nezaposlenost!X44)-(inflacija!J35+nezaposlenost!X40)</f>
        <v>-1.0729315485501907</v>
      </c>
      <c r="V31" s="282">
        <v>0.21999999999999975</v>
      </c>
      <c r="W31" s="282">
        <f>krediti!J39</f>
        <v>0.63999509884550321</v>
      </c>
      <c r="AF31" s="280"/>
      <c r="AG31" s="280"/>
      <c r="AH31" s="280"/>
      <c r="AI31" s="280"/>
    </row>
    <row r="32" spans="1:38" s="281" customFormat="1" outlineLevel="1">
      <c r="A32" s="280"/>
      <c r="B32" s="280"/>
      <c r="C32" s="280"/>
      <c r="D32" s="294">
        <v>40359</v>
      </c>
      <c r="E32" s="282">
        <v>-6.743754220121545</v>
      </c>
      <c r="F32" s="282">
        <f>place!B52*100</f>
        <v>-1.0239337944161986</v>
      </c>
      <c r="G32" s="282">
        <f>(inflacija!C40+nezaposlenost!V45)-(inflacija!C36+nezaposlenost!V41)</f>
        <v>-1.5064833777318221</v>
      </c>
      <c r="H32" s="282">
        <v>0.17999999999999972</v>
      </c>
      <c r="I32" s="282">
        <f>krediti!H40</f>
        <v>2.0169068936327363</v>
      </c>
      <c r="J32" s="283"/>
      <c r="K32" s="294">
        <v>40359</v>
      </c>
      <c r="L32" s="282">
        <v>-6.743754220121545</v>
      </c>
      <c r="M32" s="282">
        <f>place!I52*100</f>
        <v>-1.0239337944161986</v>
      </c>
      <c r="N32" s="282">
        <f>(inflacija!G40+nezaposlenost!W45)-(inflacija!G36+nezaposlenost!W41)</f>
        <v>-1.5064833777318221</v>
      </c>
      <c r="O32" s="282">
        <v>0.17999999999999972</v>
      </c>
      <c r="P32" s="282">
        <f>krediti!I40</f>
        <v>2.0169068936327363</v>
      </c>
      <c r="Q32" s="283"/>
      <c r="R32" s="294">
        <v>40359</v>
      </c>
      <c r="S32" s="282">
        <v>-6.743754220121545</v>
      </c>
      <c r="T32" s="282">
        <f>place!P52*100</f>
        <v>-1.0239337944161986</v>
      </c>
      <c r="U32" s="282">
        <f>(inflacija!J40+nezaposlenost!X45)-(inflacija!J36+nezaposlenost!X41)</f>
        <v>-1.5064833777318221</v>
      </c>
      <c r="V32" s="282">
        <v>0.17999999999999972</v>
      </c>
      <c r="W32" s="282">
        <f>krediti!J40</f>
        <v>2.0169068936327363</v>
      </c>
      <c r="AF32" s="280"/>
      <c r="AG32" s="280"/>
      <c r="AH32" s="280"/>
      <c r="AI32" s="280"/>
    </row>
    <row r="33" spans="1:35" s="281" customFormat="1" outlineLevel="1">
      <c r="A33" s="280"/>
      <c r="B33" s="280"/>
      <c r="C33" s="280"/>
      <c r="D33" s="294">
        <v>40451</v>
      </c>
      <c r="E33" s="282">
        <v>-5.8863968376729474</v>
      </c>
      <c r="F33" s="282">
        <f>place!B53*100</f>
        <v>0.19494514443529898</v>
      </c>
      <c r="G33" s="282">
        <f>(inflacija!C41+nezaposlenost!V46)-(inflacija!C37+nezaposlenost!V42)</f>
        <v>6.4586188081871025</v>
      </c>
      <c r="H33" s="282">
        <v>-0.21999999999999975</v>
      </c>
      <c r="I33" s="282">
        <f>krediti!H41</f>
        <v>3.4382928180565813</v>
      </c>
      <c r="J33" s="283"/>
      <c r="K33" s="294">
        <v>40451</v>
      </c>
      <c r="L33" s="282">
        <v>-5.8863968376729474</v>
      </c>
      <c r="M33" s="282">
        <f>place!I53*100</f>
        <v>0.19494514443529898</v>
      </c>
      <c r="N33" s="282">
        <f>(inflacija!G41+nezaposlenost!W46)-(inflacija!G37+nezaposlenost!W42)</f>
        <v>6.4586188081871025</v>
      </c>
      <c r="O33" s="282">
        <v>-0.21999999999999975</v>
      </c>
      <c r="P33" s="282">
        <f>krediti!I41</f>
        <v>3.4382928180565813</v>
      </c>
      <c r="Q33" s="283"/>
      <c r="R33" s="294">
        <v>40451</v>
      </c>
      <c r="S33" s="282">
        <v>-5.8863968376729474</v>
      </c>
      <c r="T33" s="282">
        <f>place!P53*100</f>
        <v>0.19494514443529898</v>
      </c>
      <c r="U33" s="282">
        <f>(inflacija!J41+nezaposlenost!X46)-(inflacija!J37+nezaposlenost!X42)</f>
        <v>6.4586188081871025</v>
      </c>
      <c r="V33" s="282">
        <v>-0.21999999999999975</v>
      </c>
      <c r="W33" s="282">
        <f>krediti!J41</f>
        <v>3.4382928180565813</v>
      </c>
      <c r="AF33" s="280"/>
      <c r="AG33" s="280"/>
      <c r="AH33" s="280"/>
      <c r="AI33" s="280"/>
    </row>
    <row r="34" spans="1:35" s="281" customFormat="1" outlineLevel="1">
      <c r="A34" s="280"/>
      <c r="B34" s="280"/>
      <c r="C34" s="280"/>
      <c r="D34" s="294">
        <v>40543</v>
      </c>
      <c r="E34" s="282">
        <v>-3.9201960098004918</v>
      </c>
      <c r="F34" s="282">
        <f>place!B54*100</f>
        <v>0.61342761120628531</v>
      </c>
      <c r="G34" s="282">
        <f>(inflacija!C42+nezaposlenost!V47)-(inflacija!C38+nezaposlenost!V43)</f>
        <v>4.5408883407197287</v>
      </c>
      <c r="H34" s="282">
        <v>-0.4300000000000006</v>
      </c>
      <c r="I34" s="282">
        <f>krediti!H42</f>
        <v>2.263464407623573</v>
      </c>
      <c r="J34" s="283"/>
      <c r="K34" s="294">
        <v>40543</v>
      </c>
      <c r="L34" s="282">
        <v>-3.9201960098004918</v>
      </c>
      <c r="M34" s="282">
        <f>place!I54*100</f>
        <v>0.61342761120628531</v>
      </c>
      <c r="N34" s="282">
        <f>(inflacija!G42+nezaposlenost!W47)-(inflacija!G38+nezaposlenost!W43)</f>
        <v>4.5408883407197287</v>
      </c>
      <c r="O34" s="282">
        <v>-0.4300000000000006</v>
      </c>
      <c r="P34" s="282">
        <f>krediti!I42</f>
        <v>2.263464407623573</v>
      </c>
      <c r="Q34" s="283"/>
      <c r="R34" s="294">
        <v>40543</v>
      </c>
      <c r="S34" s="282">
        <v>-3.9201960098004918</v>
      </c>
      <c r="T34" s="282">
        <f>place!P54*100</f>
        <v>0.61342761120628531</v>
      </c>
      <c r="U34" s="282">
        <f>(inflacija!J42+nezaposlenost!X47)-(inflacija!J38+nezaposlenost!X43)</f>
        <v>4.5408883407197287</v>
      </c>
      <c r="V34" s="282">
        <v>-0.4300000000000006</v>
      </c>
      <c r="W34" s="282">
        <f>krediti!J42</f>
        <v>2.263464407623573</v>
      </c>
      <c r="AF34" s="280"/>
      <c r="AG34" s="280"/>
      <c r="AH34" s="280"/>
      <c r="AI34" s="280"/>
    </row>
    <row r="35" spans="1:35" s="281" customFormat="1" outlineLevel="1">
      <c r="A35" s="280"/>
      <c r="B35" s="280"/>
      <c r="C35" s="280"/>
      <c r="D35" s="294">
        <v>40633</v>
      </c>
      <c r="E35" s="282">
        <v>-2.9088962255733009</v>
      </c>
      <c r="F35" s="282">
        <f>place!B55*100</f>
        <v>0.29895240254913524</v>
      </c>
      <c r="G35" s="282">
        <f>(inflacija!C43+nezaposlenost!V48)-(inflacija!C39+nezaposlenost!V44)</f>
        <v>7.3368831293545718</v>
      </c>
      <c r="H35" s="282">
        <v>-0.48000000000000043</v>
      </c>
      <c r="I35" s="282">
        <f>krediti!H43</f>
        <v>2.0821402429715334</v>
      </c>
      <c r="J35" s="283"/>
      <c r="K35" s="294">
        <v>40633</v>
      </c>
      <c r="L35" s="282">
        <v>-2.9088962255733009</v>
      </c>
      <c r="M35" s="282">
        <f>place!I55*100</f>
        <v>0.29895240254913524</v>
      </c>
      <c r="N35" s="282">
        <f>(inflacija!G43+nezaposlenost!W48)-(inflacija!G39+nezaposlenost!W44)</f>
        <v>7.3368831293545718</v>
      </c>
      <c r="O35" s="282">
        <v>-0.48000000000000043</v>
      </c>
      <c r="P35" s="282">
        <f>krediti!I43</f>
        <v>2.0821402429715334</v>
      </c>
      <c r="Q35" s="283"/>
      <c r="R35" s="294">
        <v>40633</v>
      </c>
      <c r="S35" s="282">
        <v>-2.9088962255733009</v>
      </c>
      <c r="T35" s="282">
        <f>place!P55*100</f>
        <v>0.29895240254913524</v>
      </c>
      <c r="U35" s="282">
        <f>(inflacija!J43+nezaposlenost!X48)-(inflacija!J39+nezaposlenost!X44)</f>
        <v>7.3368831293545718</v>
      </c>
      <c r="V35" s="282">
        <v>-0.48000000000000043</v>
      </c>
      <c r="W35" s="282">
        <f>krediti!J43</f>
        <v>2.0821402429715334</v>
      </c>
      <c r="AF35" s="280"/>
      <c r="AG35" s="280"/>
      <c r="AH35" s="280"/>
      <c r="AI35" s="280"/>
    </row>
    <row r="36" spans="1:35" s="281" customFormat="1" outlineLevel="1">
      <c r="A36" s="280"/>
      <c r="B36" s="280"/>
      <c r="C36" s="280"/>
      <c r="D36" s="294">
        <v>40724</v>
      </c>
      <c r="E36" s="282">
        <v>3.6202371255328103E-2</v>
      </c>
      <c r="F36" s="282">
        <f>place!B56*100</f>
        <v>0.90136141357723965</v>
      </c>
      <c r="G36" s="282">
        <f>(inflacija!C44+nezaposlenost!V49)-(inflacija!C40+nezaposlenost!V45)</f>
        <v>0.74510245261820884</v>
      </c>
      <c r="H36" s="282">
        <v>-1.21</v>
      </c>
      <c r="I36" s="282">
        <f>krediti!H44</f>
        <v>1.8813782447935523</v>
      </c>
      <c r="J36" s="283"/>
      <c r="K36" s="294">
        <v>40724</v>
      </c>
      <c r="L36" s="282">
        <v>3.6202371255328103E-2</v>
      </c>
      <c r="M36" s="282">
        <f>place!I56*100</f>
        <v>0.90136141357723965</v>
      </c>
      <c r="N36" s="282">
        <f>(inflacija!G44+nezaposlenost!W49)-(inflacija!G40+nezaposlenost!W45)</f>
        <v>0.74510245261820884</v>
      </c>
      <c r="O36" s="282">
        <v>-1.21</v>
      </c>
      <c r="P36" s="282">
        <f>krediti!I44</f>
        <v>1.8813782447935523</v>
      </c>
      <c r="Q36" s="283"/>
      <c r="R36" s="294">
        <v>40724</v>
      </c>
      <c r="S36" s="282">
        <v>3.6202371255328103E-2</v>
      </c>
      <c r="T36" s="282">
        <f>place!P56*100</f>
        <v>0.90136141357723965</v>
      </c>
      <c r="U36" s="282">
        <f>(inflacija!J44+nezaposlenost!X49)-(inflacija!J40+nezaposlenost!X45)</f>
        <v>0.74510245261820884</v>
      </c>
      <c r="V36" s="282">
        <v>-1.21</v>
      </c>
      <c r="W36" s="282">
        <f>krediti!J44</f>
        <v>1.8813782447935523</v>
      </c>
      <c r="AF36" s="280"/>
      <c r="AG36" s="280"/>
      <c r="AH36" s="280"/>
      <c r="AI36" s="280"/>
    </row>
    <row r="37" spans="1:35" s="281" customFormat="1" outlineLevel="1">
      <c r="A37" s="280"/>
      <c r="B37" s="280"/>
      <c r="C37" s="280"/>
      <c r="D37" s="294">
        <v>40816</v>
      </c>
      <c r="E37" s="282">
        <v>1.6344046749452161</v>
      </c>
      <c r="F37" s="282">
        <f>place!B57*100</f>
        <v>1.8225423872560986</v>
      </c>
      <c r="G37" s="282">
        <f>(inflacija!C45+nezaposlenost!V50)-(inflacija!C41+nezaposlenost!V46)</f>
        <v>0.37629115516230982</v>
      </c>
      <c r="H37" s="282">
        <v>-1.1799999999999997</v>
      </c>
      <c r="I37" s="282">
        <f>krediti!H45</f>
        <v>1.9485258562609289</v>
      </c>
      <c r="J37" s="283"/>
      <c r="K37" s="294">
        <v>40816</v>
      </c>
      <c r="L37" s="282">
        <v>1.6344046749452161</v>
      </c>
      <c r="M37" s="282">
        <f>place!I57*100</f>
        <v>1.8225423872560986</v>
      </c>
      <c r="N37" s="282">
        <f>(inflacija!G45+nezaposlenost!W50)-(inflacija!G41+nezaposlenost!W46)</f>
        <v>0.37629115516230982</v>
      </c>
      <c r="O37" s="282">
        <v>-1.1799999999999997</v>
      </c>
      <c r="P37" s="282">
        <f>krediti!I45</f>
        <v>1.9485258562609289</v>
      </c>
      <c r="Q37" s="283"/>
      <c r="R37" s="294">
        <v>40816</v>
      </c>
      <c r="S37" s="282">
        <v>1.6344046749452161</v>
      </c>
      <c r="T37" s="282">
        <f>place!P57*100</f>
        <v>1.8225423872560986</v>
      </c>
      <c r="U37" s="282">
        <f>(inflacija!J45+nezaposlenost!X50)-(inflacija!J41+nezaposlenost!X46)</f>
        <v>0.37629115516230982</v>
      </c>
      <c r="V37" s="282">
        <v>-1.1799999999999997</v>
      </c>
      <c r="W37" s="282">
        <f>krediti!J45</f>
        <v>1.9485258562609289</v>
      </c>
      <c r="AF37" s="280"/>
      <c r="AG37" s="280"/>
      <c r="AH37" s="280"/>
      <c r="AI37" s="280"/>
    </row>
    <row r="38" spans="1:35" s="281" customFormat="1" outlineLevel="1">
      <c r="A38" s="280"/>
      <c r="B38" s="280"/>
      <c r="C38" s="280"/>
      <c r="D38" s="294">
        <v>40908</v>
      </c>
      <c r="E38" s="282">
        <v>1.9945355191256766</v>
      </c>
      <c r="F38" s="282">
        <f>place!B58*100</f>
        <v>3.2690629555404138</v>
      </c>
      <c r="G38" s="282">
        <f>(inflacija!C46+nezaposlenost!V51)-(inflacija!C42+nezaposlenost!V47)</f>
        <v>3.7744270676332548</v>
      </c>
      <c r="H38" s="282">
        <v>-0.38999999999999968</v>
      </c>
      <c r="I38" s="282">
        <f>krediti!H46</f>
        <v>3.4904656111675081</v>
      </c>
      <c r="J38" s="283"/>
      <c r="K38" s="294">
        <v>40908</v>
      </c>
      <c r="L38" s="282">
        <v>1.9945355191256766</v>
      </c>
      <c r="M38" s="282">
        <f>place!I58*100</f>
        <v>3.2690629555404138</v>
      </c>
      <c r="N38" s="282">
        <f>(inflacija!G46+nezaposlenost!W51)-(inflacija!G42+nezaposlenost!W47)</f>
        <v>3.7744270676332548</v>
      </c>
      <c r="O38" s="282">
        <v>-0.38999999999999968</v>
      </c>
      <c r="P38" s="282">
        <f>krediti!I46</f>
        <v>3.4904656111675081</v>
      </c>
      <c r="Q38" s="283"/>
      <c r="R38" s="294">
        <v>40908</v>
      </c>
      <c r="S38" s="282">
        <v>1.9945355191256766</v>
      </c>
      <c r="T38" s="282">
        <f>place!P58*100</f>
        <v>3.2690629555404138</v>
      </c>
      <c r="U38" s="282">
        <f>(inflacija!J46+nezaposlenost!X51)-(inflacija!J42+nezaposlenost!X47)</f>
        <v>3.7744270676332548</v>
      </c>
      <c r="V38" s="282">
        <v>-0.38999999999999968</v>
      </c>
      <c r="W38" s="282">
        <f>krediti!J46</f>
        <v>3.4904656111675081</v>
      </c>
      <c r="AF38" s="280"/>
      <c r="AG38" s="280"/>
      <c r="AH38" s="280"/>
      <c r="AI38" s="280"/>
    </row>
    <row r="39" spans="1:35" s="281" customFormat="1" outlineLevel="1">
      <c r="A39" s="280"/>
      <c r="B39" s="280"/>
      <c r="C39" s="280"/>
      <c r="D39" s="294">
        <v>40999</v>
      </c>
      <c r="E39" s="282">
        <v>2.343534601599103</v>
      </c>
      <c r="F39" s="282">
        <f>place!B59*100</f>
        <v>1.6243548607388414</v>
      </c>
      <c r="G39" s="282">
        <f>(inflacija!C47+nezaposlenost!V52)-(inflacija!C43+nezaposlenost!V48)</f>
        <v>-4.7627445779876645</v>
      </c>
      <c r="H39" s="282">
        <v>-0.59999999999999964</v>
      </c>
      <c r="I39" s="282">
        <f>krediti!H47</f>
        <v>3.5858524652855976</v>
      </c>
      <c r="J39" s="283"/>
      <c r="K39" s="294">
        <v>40999</v>
      </c>
      <c r="L39" s="282">
        <v>2.343534601599103</v>
      </c>
      <c r="M39" s="282">
        <f>place!I59*100</f>
        <v>1.6243548607388414</v>
      </c>
      <c r="N39" s="282">
        <f>(inflacija!G47+nezaposlenost!W52)-(inflacija!G43+nezaposlenost!W48)</f>
        <v>-4.7627445779876645</v>
      </c>
      <c r="O39" s="282">
        <v>-0.59999999999999964</v>
      </c>
      <c r="P39" s="282">
        <f>krediti!I47</f>
        <v>3.5858524652855976</v>
      </c>
      <c r="Q39" s="283"/>
      <c r="R39" s="294">
        <v>40999</v>
      </c>
      <c r="S39" s="282">
        <v>2.343534601599103</v>
      </c>
      <c r="T39" s="282">
        <f>place!P59*100</f>
        <v>1.6243548607388414</v>
      </c>
      <c r="U39" s="282">
        <f>(inflacija!J47+nezaposlenost!X52)-(inflacija!J43+nezaposlenost!X48)</f>
        <v>-4.7627445779876645</v>
      </c>
      <c r="V39" s="282">
        <v>-0.59999999999999964</v>
      </c>
      <c r="W39" s="282">
        <f>krediti!J47</f>
        <v>3.5858524652855976</v>
      </c>
      <c r="AF39" s="280"/>
      <c r="AG39" s="280"/>
      <c r="AH39" s="280"/>
      <c r="AI39" s="280"/>
    </row>
    <row r="40" spans="1:35" s="281" customFormat="1" outlineLevel="1">
      <c r="A40" s="280"/>
      <c r="B40" s="280"/>
      <c r="C40" s="280"/>
      <c r="D40" s="294">
        <v>41090</v>
      </c>
      <c r="E40" s="282">
        <v>-0.60617027051479511</v>
      </c>
      <c r="F40" s="282">
        <f>place!B60*100</f>
        <v>1.969003851009421</v>
      </c>
      <c r="G40" s="282">
        <f>(inflacija!C48+nezaposlenost!V53)-(inflacija!C44+nezaposlenost!V49)</f>
        <v>2.2047540378249444</v>
      </c>
      <c r="H40" s="282">
        <v>0.17999999999999972</v>
      </c>
      <c r="I40" s="282">
        <f>krediti!H48</f>
        <v>2.1212537292004043</v>
      </c>
      <c r="J40" s="283"/>
      <c r="K40" s="294">
        <v>41090</v>
      </c>
      <c r="L40" s="282">
        <v>-0.60617027051479511</v>
      </c>
      <c r="M40" s="282">
        <f>place!I60*100</f>
        <v>1.969003851009421</v>
      </c>
      <c r="N40" s="282">
        <f>(inflacija!G48+nezaposlenost!W53)-(inflacija!G44+nezaposlenost!W49)</f>
        <v>2.2047540378249444</v>
      </c>
      <c r="O40" s="282">
        <v>0.17999999999999972</v>
      </c>
      <c r="P40" s="282">
        <f>krediti!I48</f>
        <v>2.1212537292004043</v>
      </c>
      <c r="Q40" s="283"/>
      <c r="R40" s="294">
        <v>41090</v>
      </c>
      <c r="S40" s="282">
        <v>-0.60617027051479511</v>
      </c>
      <c r="T40" s="282">
        <f>place!P60*100</f>
        <v>1.969003851009421</v>
      </c>
      <c r="U40" s="282">
        <f>(inflacija!J48+nezaposlenost!X53)-(inflacija!J44+nezaposlenost!X49)</f>
        <v>2.2047540378249444</v>
      </c>
      <c r="V40" s="282">
        <v>0.17999999999999972</v>
      </c>
      <c r="W40" s="282">
        <f>krediti!J48</f>
        <v>2.1212537292004043</v>
      </c>
      <c r="AF40" s="280"/>
      <c r="AG40" s="280"/>
      <c r="AH40" s="280"/>
      <c r="AI40" s="280"/>
    </row>
    <row r="41" spans="1:35" s="281" customFormat="1" outlineLevel="1">
      <c r="A41" s="280"/>
      <c r="B41" s="280"/>
      <c r="C41" s="280"/>
      <c r="D41" s="294">
        <v>41182</v>
      </c>
      <c r="E41" s="282">
        <v>-1.9944299703530675</v>
      </c>
      <c r="F41" s="282">
        <f>place!B61*100</f>
        <v>0.7934504277647747</v>
      </c>
      <c r="G41" s="282">
        <f>(inflacija!C49+nezaposlenost!V54)-(inflacija!C45+nezaposlenost!V50)</f>
        <v>0.99639920900414936</v>
      </c>
      <c r="H41" s="282">
        <v>0.4399999999999995</v>
      </c>
      <c r="I41" s="282">
        <f>krediti!H49</f>
        <v>0.92266626850106093</v>
      </c>
      <c r="J41" s="283"/>
      <c r="K41" s="294">
        <v>41182</v>
      </c>
      <c r="L41" s="282">
        <v>-1.9944299703530675</v>
      </c>
      <c r="M41" s="282">
        <f>place!I61*100</f>
        <v>0.7934504277647747</v>
      </c>
      <c r="N41" s="282">
        <f>(inflacija!G49+nezaposlenost!W54)-(inflacija!G45+nezaposlenost!W50)</f>
        <v>0.99639920900414936</v>
      </c>
      <c r="O41" s="282">
        <v>0.4399999999999995</v>
      </c>
      <c r="P41" s="282">
        <f>krediti!I49</f>
        <v>0.92266626850106093</v>
      </c>
      <c r="Q41" s="283"/>
      <c r="R41" s="294">
        <v>41182</v>
      </c>
      <c r="S41" s="282">
        <v>-1.9944299703530675</v>
      </c>
      <c r="T41" s="282">
        <f>place!P61*100</f>
        <v>0.7934504277647747</v>
      </c>
      <c r="U41" s="282">
        <f>(inflacija!J49+nezaposlenost!X54)-(inflacija!J45+nezaposlenost!X50)</f>
        <v>0.99639920900414936</v>
      </c>
      <c r="V41" s="282">
        <v>0.4399999999999995</v>
      </c>
      <c r="W41" s="282">
        <f>krediti!J49</f>
        <v>0.92266626850106093</v>
      </c>
      <c r="AF41" s="280"/>
      <c r="AG41" s="280"/>
      <c r="AH41" s="280"/>
      <c r="AI41" s="280"/>
    </row>
    <row r="42" spans="1:35" s="281" customFormat="1" outlineLevel="1">
      <c r="A42" s="280"/>
      <c r="B42" s="280"/>
      <c r="C42" s="280"/>
      <c r="D42" s="294">
        <v>41274</v>
      </c>
      <c r="E42" s="282">
        <v>-5.8844539691043707</v>
      </c>
      <c r="F42" s="282">
        <f>place!B62*100</f>
        <v>-0.48695747681695156</v>
      </c>
      <c r="G42" s="282">
        <f>(inflacija!C50+nezaposlenost!V55)-(inflacija!C46+nezaposlenost!V51)</f>
        <v>2.6617137640286366</v>
      </c>
      <c r="H42" s="282">
        <v>-0.41000000000000014</v>
      </c>
      <c r="I42" s="282">
        <f>krediti!H50</f>
        <v>-1.1882587997532141</v>
      </c>
      <c r="J42" s="283"/>
      <c r="K42" s="294">
        <v>41274</v>
      </c>
      <c r="L42" s="282">
        <v>-5.8844539691043707</v>
      </c>
      <c r="M42" s="282">
        <f>place!I62*100</f>
        <v>-0.48695747681695156</v>
      </c>
      <c r="N42" s="282">
        <f>(inflacija!G50+nezaposlenost!W55)-(inflacija!G46+nezaposlenost!W51)</f>
        <v>2.6617137640286366</v>
      </c>
      <c r="O42" s="282">
        <v>-0.41000000000000014</v>
      </c>
      <c r="P42" s="282">
        <f>krediti!I50</f>
        <v>-1.1882587997532141</v>
      </c>
      <c r="Q42" s="283"/>
      <c r="R42" s="294">
        <v>41274</v>
      </c>
      <c r="S42" s="282">
        <v>-5.8844539691043707</v>
      </c>
      <c r="T42" s="282">
        <f>place!P62*100</f>
        <v>-0.48695747681695156</v>
      </c>
      <c r="U42" s="282">
        <f>(inflacija!J50+nezaposlenost!X55)-(inflacija!J46+nezaposlenost!X51)</f>
        <v>2.6617137640286366</v>
      </c>
      <c r="V42" s="282">
        <v>-0.41000000000000014</v>
      </c>
      <c r="W42" s="282">
        <f>krediti!J50</f>
        <v>-1.1882587997532141</v>
      </c>
      <c r="AF42" s="280"/>
      <c r="AG42" s="280"/>
      <c r="AH42" s="280"/>
      <c r="AI42" s="280"/>
    </row>
    <row r="43" spans="1:35" s="281" customFormat="1" outlineLevel="1">
      <c r="C43" s="280"/>
      <c r="D43" s="294">
        <v>41364</v>
      </c>
      <c r="E43" s="282">
        <v>-5.4597701149425291</v>
      </c>
      <c r="F43" s="282">
        <f>place!B63*100</f>
        <v>2.9817611605632788</v>
      </c>
      <c r="G43" s="282">
        <f>(inflacija!C51+nezaposlenost!V56)-(inflacija!C47+nezaposlenost!V52)</f>
        <v>2.4106238366403119</v>
      </c>
      <c r="H43" s="282">
        <v>-0.37000000000000011</v>
      </c>
      <c r="I43" s="282">
        <f>krediti!H51</f>
        <v>-1.5941280272353424</v>
      </c>
      <c r="J43" s="283"/>
      <c r="K43" s="294">
        <v>41364</v>
      </c>
      <c r="L43" s="282">
        <v>-5.4597701149425291</v>
      </c>
      <c r="M43" s="282">
        <f>place!I63*100</f>
        <v>2.9817611605632788</v>
      </c>
      <c r="N43" s="282">
        <f>(inflacija!G51+nezaposlenost!W56)-(inflacija!G47+nezaposlenost!W52)</f>
        <v>2.4106238366403119</v>
      </c>
      <c r="O43" s="282">
        <v>-0.37000000000000011</v>
      </c>
      <c r="P43" s="282">
        <f>krediti!I51</f>
        <v>-1.5941280272353424</v>
      </c>
      <c r="Q43" s="283"/>
      <c r="R43" s="294">
        <v>41364</v>
      </c>
      <c r="S43" s="282">
        <v>-5.4597701149425291</v>
      </c>
      <c r="T43" s="282">
        <f>place!P63*100</f>
        <v>2.9817611605632788</v>
      </c>
      <c r="U43" s="282">
        <f>(inflacija!J51+nezaposlenost!X56)-(inflacija!J47+nezaposlenost!X52)</f>
        <v>2.4106238366403119</v>
      </c>
      <c r="V43" s="282">
        <v>-0.37000000000000011</v>
      </c>
      <c r="W43" s="282">
        <f>krediti!J51</f>
        <v>-1.5941280272353424</v>
      </c>
      <c r="AF43" s="280"/>
      <c r="AG43" s="280"/>
      <c r="AH43" s="280"/>
      <c r="AI43" s="280"/>
    </row>
    <row r="44" spans="1:35" s="281" customFormat="1" outlineLevel="1">
      <c r="C44" s="280"/>
      <c r="D44" s="294">
        <v>41455</v>
      </c>
      <c r="E44" s="282">
        <v>-4.7606044056071397</v>
      </c>
      <c r="F44" s="282">
        <f>place!B64*100</f>
        <v>1.0937483746707555</v>
      </c>
      <c r="G44" s="282">
        <f>(inflacija!C52+nezaposlenost!V57)-(inflacija!C48+nezaposlenost!V53)</f>
        <v>1.2795886807425205</v>
      </c>
      <c r="H44" s="282">
        <v>-0.44999999999999929</v>
      </c>
      <c r="I44" s="282">
        <f>krediti!H52</f>
        <v>-0.13619033831960792</v>
      </c>
      <c r="J44" s="283"/>
      <c r="K44" s="294">
        <v>41455</v>
      </c>
      <c r="L44" s="282">
        <v>-4.7606044056071397</v>
      </c>
      <c r="M44" s="282">
        <f>place!I64*100</f>
        <v>1.0937483746707555</v>
      </c>
      <c r="N44" s="282">
        <f>(inflacija!G52+nezaposlenost!W57)-(inflacija!G48+nezaposlenost!W53)</f>
        <v>1.2795886807425205</v>
      </c>
      <c r="O44" s="282">
        <v>-0.44999999999999929</v>
      </c>
      <c r="P44" s="282">
        <f>krediti!I52</f>
        <v>-0.13619033831960792</v>
      </c>
      <c r="Q44" s="283"/>
      <c r="R44" s="294">
        <v>41455</v>
      </c>
      <c r="S44" s="282">
        <v>-4.7606044056071397</v>
      </c>
      <c r="T44" s="282">
        <f>place!P64*100</f>
        <v>1.0937483746707555</v>
      </c>
      <c r="U44" s="282">
        <f>(inflacija!J52+nezaposlenost!X57)-(inflacija!J48+nezaposlenost!X53)</f>
        <v>1.2795886807425205</v>
      </c>
      <c r="V44" s="282">
        <v>-0.44999999999999929</v>
      </c>
      <c r="W44" s="282">
        <f>krediti!J52</f>
        <v>-0.13619033831960792</v>
      </c>
      <c r="AF44" s="280"/>
      <c r="AG44" s="280"/>
      <c r="AH44" s="280"/>
      <c r="AI44" s="280"/>
    </row>
    <row r="45" spans="1:35" s="281" customFormat="1" outlineLevel="1">
      <c r="C45" s="280"/>
      <c r="D45" s="294">
        <v>41547</v>
      </c>
      <c r="E45" s="282">
        <v>-3.7766981391511649</v>
      </c>
      <c r="F45" s="282">
        <f>place!B65*100</f>
        <v>0.1148185264712609</v>
      </c>
      <c r="G45" s="282">
        <f>(inflacija!C53+nezaposlenost!V58)-(inflacija!C49+nezaposlenost!V54)</f>
        <v>0.88387302692215997</v>
      </c>
      <c r="H45" s="282">
        <v>-0.80999999999999961</v>
      </c>
      <c r="I45" s="282">
        <f>krediti!H53</f>
        <v>-0.33567215663687477</v>
      </c>
      <c r="J45" s="283"/>
      <c r="K45" s="294">
        <v>41547</v>
      </c>
      <c r="L45" s="282">
        <v>-3.7766981391511649</v>
      </c>
      <c r="M45" s="282">
        <f>place!I65*100</f>
        <v>0.1148185264712609</v>
      </c>
      <c r="N45" s="282">
        <f>(inflacija!G53+nezaposlenost!W58)-(inflacija!G49+nezaposlenost!W54)</f>
        <v>0.88387302692215997</v>
      </c>
      <c r="O45" s="282">
        <v>-0.80999999999999961</v>
      </c>
      <c r="P45" s="282">
        <f>krediti!I53</f>
        <v>-0.33567215663687477</v>
      </c>
      <c r="Q45" s="283"/>
      <c r="R45" s="294">
        <v>41547</v>
      </c>
      <c r="S45" s="282">
        <v>-3.7766981391511649</v>
      </c>
      <c r="T45" s="282">
        <f>place!P65*100</f>
        <v>0.1148185264712609</v>
      </c>
      <c r="U45" s="282">
        <f>(inflacija!J53+nezaposlenost!X58)-(inflacija!J49+nezaposlenost!X54)</f>
        <v>0.88387302692215997</v>
      </c>
      <c r="V45" s="282">
        <v>-0.80999999999999961</v>
      </c>
      <c r="W45" s="282">
        <f>krediti!J53</f>
        <v>-0.33567215663687477</v>
      </c>
      <c r="AF45" s="280"/>
      <c r="AG45" s="280"/>
      <c r="AH45" s="280"/>
      <c r="AI45" s="280"/>
    </row>
    <row r="46" spans="1:35" s="281" customFormat="1" outlineLevel="1">
      <c r="C46" s="280"/>
      <c r="D46" s="294">
        <v>41639</v>
      </c>
      <c r="E46" s="282">
        <v>-1.6793168880455482</v>
      </c>
      <c r="F46" s="282">
        <f>place!B66*100</f>
        <v>-5.7103102885835977E-2</v>
      </c>
      <c r="G46" s="282">
        <f>(inflacija!C54+nezaposlenost!V59)-(inflacija!C50+nezaposlenost!V55)</f>
        <v>-5.6948865449933201</v>
      </c>
      <c r="H46" s="282">
        <v>-9.9999999999999645E-2</v>
      </c>
      <c r="I46" s="282">
        <f>krediti!H54</f>
        <v>0.80127183753349129</v>
      </c>
      <c r="J46" s="283"/>
      <c r="K46" s="294">
        <v>41639</v>
      </c>
      <c r="L46" s="282">
        <v>-1.6793168880455482</v>
      </c>
      <c r="M46" s="282">
        <f>place!I66*100</f>
        <v>-5.7103102885835977E-2</v>
      </c>
      <c r="N46" s="282">
        <f>(inflacija!G54+nezaposlenost!W59)-(inflacija!G50+nezaposlenost!W55)</f>
        <v>-5.6948865449933201</v>
      </c>
      <c r="O46" s="282">
        <v>-9.9999999999999645E-2</v>
      </c>
      <c r="P46" s="282">
        <f>krediti!I54</f>
        <v>0.80127183753349129</v>
      </c>
      <c r="Q46" s="283"/>
      <c r="R46" s="294">
        <v>41639</v>
      </c>
      <c r="S46" s="282">
        <v>-1.6793168880455482</v>
      </c>
      <c r="T46" s="282">
        <f>place!P66*100</f>
        <v>-5.7103102885835977E-2</v>
      </c>
      <c r="U46" s="282">
        <f>(inflacija!J54+nezaposlenost!X59)-(inflacija!J50+nezaposlenost!X55)</f>
        <v>-5.6948865449933201</v>
      </c>
      <c r="V46" s="282">
        <v>-9.9999999999999645E-2</v>
      </c>
      <c r="W46" s="282">
        <f>krediti!J54</f>
        <v>0.80127183753349129</v>
      </c>
      <c r="AF46" s="280"/>
      <c r="AG46" s="280"/>
      <c r="AH46" s="280"/>
      <c r="AI46" s="280"/>
    </row>
    <row r="47" spans="1:35" s="281" customFormat="1" outlineLevel="1">
      <c r="C47" s="280"/>
      <c r="D47" s="294">
        <v>41729</v>
      </c>
      <c r="E47" s="282">
        <v>-2.2226443768996944</v>
      </c>
      <c r="F47" s="282">
        <f>place!B67*100</f>
        <v>-0.94584056577006193</v>
      </c>
      <c r="G47" s="282">
        <f>(inflacija!C55+nezaposlenost!V60)-(inflacija!C51+nezaposlenost!V56)</f>
        <v>-0.173545880383287</v>
      </c>
      <c r="H47" s="282">
        <v>-0.33000000000000007</v>
      </c>
      <c r="I47" s="282">
        <f>krediti!H55</f>
        <v>0.3024998421784062</v>
      </c>
      <c r="J47" s="283"/>
      <c r="K47" s="294">
        <v>41729</v>
      </c>
      <c r="L47" s="282">
        <v>-2.2226443768996944</v>
      </c>
      <c r="M47" s="282">
        <f>place!I67*100</f>
        <v>-0.94584056577006193</v>
      </c>
      <c r="N47" s="282">
        <f>(inflacija!G55+nezaposlenost!W60)-(inflacija!G51+nezaposlenost!W56)</f>
        <v>-0.173545880383287</v>
      </c>
      <c r="O47" s="282">
        <v>-0.33000000000000007</v>
      </c>
      <c r="P47" s="282">
        <f>krediti!I55</f>
        <v>0.3024998421784062</v>
      </c>
      <c r="Q47" s="283"/>
      <c r="R47" s="294">
        <v>41729</v>
      </c>
      <c r="S47" s="282">
        <v>-2.2226443768996944</v>
      </c>
      <c r="T47" s="282">
        <f>place!P67*100</f>
        <v>-0.94584056577006193</v>
      </c>
      <c r="U47" s="282">
        <f>(inflacija!J55+nezaposlenost!X60)-(inflacija!J51+nezaposlenost!X56)</f>
        <v>-0.173545880383287</v>
      </c>
      <c r="V47" s="282">
        <v>-0.33000000000000007</v>
      </c>
      <c r="W47" s="282">
        <f>krediti!J55</f>
        <v>0.3024998421784062</v>
      </c>
      <c r="AF47" s="280"/>
      <c r="AG47" s="280"/>
      <c r="AH47" s="280"/>
      <c r="AI47" s="280"/>
    </row>
    <row r="48" spans="1:35" s="281" customFormat="1" outlineLevel="1">
      <c r="A48" s="280"/>
      <c r="B48" s="280"/>
      <c r="C48" s="280"/>
      <c r="D48" s="294">
        <v>41820</v>
      </c>
      <c r="E48" s="282">
        <v>-0.77415655165822272</v>
      </c>
      <c r="F48" s="282">
        <f>place!B68*100</f>
        <v>-1.1120271786917768</v>
      </c>
      <c r="G48" s="282">
        <f>(inflacija!C56+nezaposlenost!V61)-(inflacija!C52+nezaposlenost!V57)</f>
        <v>-4.6587176389690903</v>
      </c>
      <c r="H48" s="282">
        <v>0.28999999999999915</v>
      </c>
      <c r="I48" s="282">
        <f>krediti!H56</f>
        <v>-0.99523758808408047</v>
      </c>
      <c r="J48" s="283"/>
      <c r="K48" s="294">
        <v>41820</v>
      </c>
      <c r="L48" s="282">
        <v>-0.77415655165822272</v>
      </c>
      <c r="M48" s="282">
        <f>place!I68*100</f>
        <v>-1.1120271786917768</v>
      </c>
      <c r="N48" s="282">
        <f>(inflacija!G56+nezaposlenost!W61)-(inflacija!G52+nezaposlenost!W57)</f>
        <v>-4.6587176389690903</v>
      </c>
      <c r="O48" s="282">
        <v>0.28999999999999915</v>
      </c>
      <c r="P48" s="282">
        <f>krediti!I56</f>
        <v>-0.99523758808408047</v>
      </c>
      <c r="Q48" s="283"/>
      <c r="R48" s="294">
        <v>41820</v>
      </c>
      <c r="S48" s="282">
        <v>-0.77415655165822272</v>
      </c>
      <c r="T48" s="282">
        <f>place!P68*100</f>
        <v>-1.1120271786917768</v>
      </c>
      <c r="U48" s="282">
        <f>(inflacija!J56+nezaposlenost!X61)-(inflacija!J52+nezaposlenost!X57)</f>
        <v>-4.6587176389690903</v>
      </c>
      <c r="V48" s="282">
        <v>0.28999999999999915</v>
      </c>
      <c r="W48" s="282">
        <f>krediti!J56</f>
        <v>-0.99523758808408047</v>
      </c>
      <c r="AF48" s="280"/>
      <c r="AG48" s="280"/>
      <c r="AH48" s="280"/>
      <c r="AI48" s="280"/>
    </row>
    <row r="49" spans="1:35" s="281" customFormat="1" outlineLevel="1">
      <c r="A49" s="280"/>
      <c r="B49" s="280"/>
      <c r="C49" s="280"/>
      <c r="D49" s="294">
        <v>41912</v>
      </c>
      <c r="E49" s="282">
        <v>-1.8767266838144252</v>
      </c>
      <c r="F49" s="282">
        <f>place!B69*100</f>
        <v>0.81628701579137264</v>
      </c>
      <c r="G49" s="282">
        <f>(inflacija!C57+nezaposlenost!V62)-(inflacija!C53+nezaposlenost!V58)</f>
        <v>-1.4400351755857983</v>
      </c>
      <c r="H49" s="282">
        <v>0.38999999999999968</v>
      </c>
      <c r="I49" s="282">
        <f>krediti!H57</f>
        <v>-0.89402284902550377</v>
      </c>
      <c r="J49" s="283"/>
      <c r="K49" s="294">
        <v>41912</v>
      </c>
      <c r="L49" s="282">
        <v>-1.8767266838144252</v>
      </c>
      <c r="M49" s="282">
        <f>place!I69*100</f>
        <v>0.81628701579137264</v>
      </c>
      <c r="N49" s="282">
        <f>(inflacija!G57+nezaposlenost!W62)-(inflacija!G53+nezaposlenost!W58)</f>
        <v>-1.4400351755857983</v>
      </c>
      <c r="O49" s="282">
        <v>0.38999999999999968</v>
      </c>
      <c r="P49" s="282">
        <f>krediti!I57</f>
        <v>-0.89402284902550377</v>
      </c>
      <c r="Q49" s="283"/>
      <c r="R49" s="294">
        <v>41912</v>
      </c>
      <c r="S49" s="282">
        <v>-1.8767266838144252</v>
      </c>
      <c r="T49" s="282">
        <f>place!P69*100</f>
        <v>0.81628701579137264</v>
      </c>
      <c r="U49" s="282">
        <f>(inflacija!J57+nezaposlenost!X62)-(inflacija!J53+nezaposlenost!X58)</f>
        <v>-1.4400351755857983</v>
      </c>
      <c r="V49" s="282">
        <v>0.38999999999999968</v>
      </c>
      <c r="W49" s="282">
        <f>krediti!J57</f>
        <v>-0.89402284902550377</v>
      </c>
      <c r="AF49" s="280"/>
      <c r="AG49" s="280"/>
      <c r="AH49" s="280"/>
      <c r="AI49" s="280"/>
    </row>
    <row r="50" spans="1:35" s="281" customFormat="1" outlineLevel="1">
      <c r="A50" s="280"/>
      <c r="B50" s="280"/>
      <c r="C50" s="280"/>
      <c r="D50" s="294">
        <v>42004</v>
      </c>
      <c r="E50" s="282">
        <v>-1.4378075846762499</v>
      </c>
      <c r="F50" s="282">
        <f>place!B70*100</f>
        <v>1.0747345927294649</v>
      </c>
      <c r="G50" s="282">
        <f>(inflacija!C58+nezaposlenost!V63)-(inflacija!C54+nezaposlenost!V59)</f>
        <v>-0.62454554260651207</v>
      </c>
      <c r="H50" s="282">
        <v>9.9999999999997868E-3</v>
      </c>
      <c r="I50" s="282">
        <f>krediti!H58</f>
        <v>-1.49794183246469</v>
      </c>
      <c r="J50" s="283"/>
      <c r="K50" s="294">
        <v>42004</v>
      </c>
      <c r="L50" s="282">
        <v>-1.4378075846762499</v>
      </c>
      <c r="M50" s="282">
        <f>place!I70*100</f>
        <v>1.0747345927294649</v>
      </c>
      <c r="N50" s="282">
        <f>(inflacija!G58+nezaposlenost!W63)-(inflacija!G54+nezaposlenost!W59)</f>
        <v>-0.62454554260651207</v>
      </c>
      <c r="O50" s="282">
        <v>9.9999999999997868E-3</v>
      </c>
      <c r="P50" s="282">
        <f>krediti!I58</f>
        <v>-1.49794183246469</v>
      </c>
      <c r="Q50" s="283"/>
      <c r="R50" s="294">
        <v>42004</v>
      </c>
      <c r="S50" s="282">
        <v>-1.4378075846762499</v>
      </c>
      <c r="T50" s="282">
        <f>place!P70*100</f>
        <v>1.0747345927294649</v>
      </c>
      <c r="U50" s="282">
        <f>(inflacija!J58+nezaposlenost!X63)-(inflacija!J54+nezaposlenost!X59)</f>
        <v>-0.62454554260651207</v>
      </c>
      <c r="V50" s="282">
        <v>9.9999999999997868E-3</v>
      </c>
      <c r="W50" s="282">
        <f>krediti!J58</f>
        <v>-1.49794183246469</v>
      </c>
      <c r="AF50" s="280"/>
      <c r="AG50" s="280"/>
      <c r="AH50" s="280"/>
      <c r="AI50" s="280"/>
    </row>
    <row r="51" spans="1:35" s="281" customFormat="1" outlineLevel="1">
      <c r="A51" s="280"/>
      <c r="B51" s="280"/>
      <c r="C51" s="280"/>
      <c r="D51" s="294">
        <v>42094</v>
      </c>
      <c r="E51" s="282">
        <v>-1.836020983096958</v>
      </c>
      <c r="F51" s="282">
        <f>place!B71*100</f>
        <v>-4.3300833802127459</v>
      </c>
      <c r="G51" s="282">
        <f>(inflacija!C59+nezaposlenost!V64)-(inflacija!C55+nezaposlenost!V60)</f>
        <v>-1.0829741775501027</v>
      </c>
      <c r="H51" s="282">
        <v>0.37999999999999989</v>
      </c>
      <c r="I51" s="282">
        <f>krediti!H59</f>
        <v>-1.6046080166230041</v>
      </c>
      <c r="J51" s="283"/>
      <c r="K51" s="294">
        <v>42094</v>
      </c>
      <c r="L51" s="282">
        <v>-1.836020983096958</v>
      </c>
      <c r="M51" s="282">
        <f>place!I71*100</f>
        <v>-4.3300833802127459</v>
      </c>
      <c r="N51" s="282">
        <f>(inflacija!G59+nezaposlenost!W64)-(inflacija!G55+nezaposlenost!W60)</f>
        <v>-1.0829741775501027</v>
      </c>
      <c r="O51" s="282">
        <v>0.37999999999999989</v>
      </c>
      <c r="P51" s="282">
        <f>krediti!I59</f>
        <v>-1.6046080166230041</v>
      </c>
      <c r="Q51" s="283"/>
      <c r="R51" s="294">
        <v>42094</v>
      </c>
      <c r="S51" s="282">
        <v>-1.836020983096958</v>
      </c>
      <c r="T51" s="282">
        <f>place!P71*100</f>
        <v>-4.3300833802127459</v>
      </c>
      <c r="U51" s="282">
        <f>(inflacija!J59+nezaposlenost!X64)-(inflacija!J55+nezaposlenost!X60)</f>
        <v>-1.0829741775501027</v>
      </c>
      <c r="V51" s="282">
        <v>0.37999999999999989</v>
      </c>
      <c r="W51" s="282">
        <f>krediti!J59</f>
        <v>-1.6046080166230041</v>
      </c>
      <c r="AF51" s="280"/>
      <c r="AG51" s="280"/>
      <c r="AH51" s="280"/>
      <c r="AI51" s="280"/>
    </row>
    <row r="52" spans="1:35" s="281" customFormat="1" outlineLevel="1">
      <c r="A52" s="280"/>
      <c r="B52" s="280"/>
      <c r="C52" s="280"/>
      <c r="D52" s="294">
        <v>42185</v>
      </c>
      <c r="E52" s="282">
        <v>-4.5174340204199552</v>
      </c>
      <c r="F52" s="282">
        <f>place!B72*100</f>
        <v>-3.5465549519204109</v>
      </c>
      <c r="G52" s="282">
        <f>(inflacija!C60+nezaposlenost!V65)-(inflacija!C56+nezaposlenost!V61)</f>
        <v>-0.33797754079255782</v>
      </c>
      <c r="H52" s="282">
        <v>-0.29999999999999982</v>
      </c>
      <c r="I52" s="282">
        <f>krediti!H60</f>
        <v>-1.9168879288737202</v>
      </c>
      <c r="J52" s="283"/>
      <c r="K52" s="294">
        <v>42185</v>
      </c>
      <c r="L52" s="282">
        <v>-4.5174340204199552</v>
      </c>
      <c r="M52" s="282">
        <f>place!I72*100</f>
        <v>-3.5465549519204109</v>
      </c>
      <c r="N52" s="282">
        <f>(inflacija!G60+nezaposlenost!W65)-(inflacija!G56+nezaposlenost!W61)</f>
        <v>-0.33797754079255782</v>
      </c>
      <c r="O52" s="282">
        <v>-0.29999999999999982</v>
      </c>
      <c r="P52" s="282">
        <f>krediti!I60</f>
        <v>-1.9168879288737202</v>
      </c>
      <c r="Q52" s="283"/>
      <c r="R52" s="294">
        <v>42185</v>
      </c>
      <c r="S52" s="282">
        <v>-4.5174340204199552</v>
      </c>
      <c r="T52" s="282">
        <f>place!P72*100</f>
        <v>-3.5465549519204109</v>
      </c>
      <c r="U52" s="282">
        <f>(inflacija!J60+nezaposlenost!X65)-(inflacija!J56+nezaposlenost!X61)</f>
        <v>-0.33797754079255782</v>
      </c>
      <c r="V52" s="282">
        <v>-0.29999999999999982</v>
      </c>
      <c r="W52" s="282">
        <f>krediti!J60</f>
        <v>-1.9168879288737202</v>
      </c>
      <c r="AF52" s="280"/>
      <c r="AG52" s="280"/>
      <c r="AH52" s="280"/>
      <c r="AI52" s="280"/>
    </row>
    <row r="53" spans="1:35" s="281" customFormat="1" outlineLevel="1">
      <c r="A53" s="280"/>
      <c r="B53" s="280"/>
      <c r="C53" s="280"/>
      <c r="D53" s="294">
        <v>42277</v>
      </c>
      <c r="E53" s="282">
        <v>-3.0485436893203968</v>
      </c>
      <c r="F53" s="282">
        <f>place!B73*100</f>
        <v>-4.3665600328341885</v>
      </c>
      <c r="G53" s="282">
        <f>(inflacija!C61+nezaposlenost!V66)-(inflacija!C57+nezaposlenost!V62)</f>
        <v>-4.1394028219583348</v>
      </c>
      <c r="H53" s="282">
        <v>-0.29000000000000004</v>
      </c>
      <c r="I53" s="282">
        <f>krediti!H61</f>
        <v>-1.9763381704152465</v>
      </c>
      <c r="J53" s="283"/>
      <c r="K53" s="294">
        <v>42277</v>
      </c>
      <c r="L53" s="282">
        <v>-3.0485436893203968</v>
      </c>
      <c r="M53" s="282">
        <f>place!I73*100</f>
        <v>-4.3665600328341885</v>
      </c>
      <c r="N53" s="282">
        <f>(inflacija!G61+nezaposlenost!W66)-(inflacija!G57+nezaposlenost!W62)</f>
        <v>-4.1394028219583348</v>
      </c>
      <c r="O53" s="282">
        <v>-0.29000000000000004</v>
      </c>
      <c r="P53" s="282">
        <f>krediti!I61</f>
        <v>-1.9763381704152465</v>
      </c>
      <c r="Q53" s="283"/>
      <c r="R53" s="294">
        <v>42277</v>
      </c>
      <c r="S53" s="282">
        <v>-3.0485436893203968</v>
      </c>
      <c r="T53" s="282">
        <f>place!P73*100</f>
        <v>-4.3665600328341885</v>
      </c>
      <c r="U53" s="282">
        <f>(inflacija!J61+nezaposlenost!X66)-(inflacija!J57+nezaposlenost!X62)</f>
        <v>-4.1394028219583348</v>
      </c>
      <c r="V53" s="282">
        <v>-0.29000000000000004</v>
      </c>
      <c r="W53" s="282">
        <f>krediti!J61</f>
        <v>-1.9763381704152465</v>
      </c>
      <c r="AF53" s="280"/>
      <c r="AG53" s="280"/>
      <c r="AH53" s="280"/>
      <c r="AI53" s="280"/>
    </row>
    <row r="54" spans="1:35" s="281" customFormat="1" outlineLevel="1">
      <c r="A54" s="280"/>
      <c r="B54" s="280"/>
      <c r="C54" s="280"/>
      <c r="D54" s="294">
        <v>42369</v>
      </c>
      <c r="E54" s="282">
        <v>-2.13432543567653</v>
      </c>
      <c r="F54" s="282">
        <f>place!B74*100</f>
        <v>-3.9898269610761261</v>
      </c>
      <c r="G54" s="282">
        <f>(inflacija!C62+nezaposlenost!V67)-(inflacija!C58+nezaposlenost!V63)</f>
        <v>-3.0662703279815844</v>
      </c>
      <c r="H54" s="282">
        <v>0.5</v>
      </c>
      <c r="I54" s="282">
        <f>krediti!H62</f>
        <v>-2.2821843390586309</v>
      </c>
      <c r="J54" s="283"/>
      <c r="K54" s="294">
        <v>42369</v>
      </c>
      <c r="L54" s="282">
        <v>-2.13432543567653</v>
      </c>
      <c r="M54" s="282">
        <f>place!I74*100</f>
        <v>-3.9898269610761261</v>
      </c>
      <c r="N54" s="282">
        <f>(inflacija!G62+nezaposlenost!W67)-(inflacija!G58+nezaposlenost!W63)</f>
        <v>-3.0662703279815844</v>
      </c>
      <c r="O54" s="282">
        <v>0.5</v>
      </c>
      <c r="P54" s="282">
        <f>krediti!I62</f>
        <v>-2.2821843390586309</v>
      </c>
      <c r="Q54" s="283"/>
      <c r="R54" s="294">
        <v>42369</v>
      </c>
      <c r="S54" s="282">
        <v>-2.13432543567653</v>
      </c>
      <c r="T54" s="282">
        <f>place!P74*100</f>
        <v>-3.9898269610761261</v>
      </c>
      <c r="U54" s="282">
        <f>(inflacija!J62+nezaposlenost!X67)-(inflacija!J58+nezaposlenost!X63)</f>
        <v>-3.0662703279815844</v>
      </c>
      <c r="V54" s="282">
        <v>0.5</v>
      </c>
      <c r="W54" s="282">
        <f>krediti!J62</f>
        <v>-2.2821843390586309</v>
      </c>
      <c r="AF54" s="280"/>
      <c r="AG54" s="280"/>
      <c r="AH54" s="280"/>
      <c r="AI54" s="280"/>
    </row>
    <row r="55" spans="1:35" s="281" customFormat="1" outlineLevel="1">
      <c r="A55" s="280"/>
      <c r="B55" s="280"/>
      <c r="C55" s="280"/>
      <c r="D55" s="294">
        <v>42460</v>
      </c>
      <c r="E55" s="282">
        <v>0.15833745670460075</v>
      </c>
      <c r="F55" s="282">
        <f>place!B75*100</f>
        <v>1.9532965554471371</v>
      </c>
      <c r="G55" s="282">
        <f>(inflacija!C63+nezaposlenost!V68)-(inflacija!C59+nezaposlenost!V64)</f>
        <v>-4.6257533619029303</v>
      </c>
      <c r="H55" s="282">
        <v>0.5600000000000005</v>
      </c>
      <c r="I55" s="282">
        <f>krediti!H63</f>
        <v>-0.87373908172831705</v>
      </c>
      <c r="J55" s="283"/>
      <c r="K55" s="294">
        <v>42460</v>
      </c>
      <c r="L55" s="282">
        <v>0.15833745670460075</v>
      </c>
      <c r="M55" s="282">
        <f>place!I75*100</f>
        <v>1.9532965554471371</v>
      </c>
      <c r="N55" s="282">
        <f>(inflacija!G63+nezaposlenost!W68)-(inflacija!G59+nezaposlenost!W64)</f>
        <v>-4.6257533619029303</v>
      </c>
      <c r="O55" s="282">
        <v>0.5600000000000005</v>
      </c>
      <c r="P55" s="282">
        <f>krediti!I63</f>
        <v>-0.87373908172831705</v>
      </c>
      <c r="Q55" s="283"/>
      <c r="R55" s="294">
        <v>42460</v>
      </c>
      <c r="S55" s="282">
        <v>0.15833745670460075</v>
      </c>
      <c r="T55" s="282">
        <f>place!P75*100</f>
        <v>1.9532965554471371</v>
      </c>
      <c r="U55" s="282">
        <f>(inflacija!J63+nezaposlenost!X68)-(inflacija!J59+nezaposlenost!X64)</f>
        <v>-4.6257533619029303</v>
      </c>
      <c r="V55" s="282">
        <v>0.5600000000000005</v>
      </c>
      <c r="W55" s="282">
        <f>krediti!J63</f>
        <v>-0.87373908172831705</v>
      </c>
      <c r="AF55" s="280"/>
      <c r="AG55" s="280"/>
      <c r="AH55" s="280"/>
      <c r="AI55" s="280"/>
    </row>
    <row r="56" spans="1:35" s="281" customFormat="1" outlineLevel="1">
      <c r="A56" s="280"/>
      <c r="B56" s="280"/>
      <c r="C56" s="280"/>
      <c r="D56" s="294">
        <v>42551</v>
      </c>
      <c r="E56" s="282">
        <v>1.16009280742459</v>
      </c>
      <c r="F56" s="282">
        <f>place!B76*100</f>
        <v>1.9483546358210369</v>
      </c>
      <c r="G56" s="282">
        <f>(inflacija!C64+nezaposlenost!V69)-(inflacija!C60+nezaposlenost!V65)</f>
        <v>-3.8924984298814653</v>
      </c>
      <c r="H56" s="282">
        <v>-0.16000000000000014</v>
      </c>
      <c r="I56" s="282">
        <f>krediti!H64</f>
        <v>-0.19383711145928828</v>
      </c>
      <c r="J56" s="283"/>
      <c r="K56" s="294">
        <v>42551</v>
      </c>
      <c r="L56" s="282">
        <v>1.16009280742459</v>
      </c>
      <c r="M56" s="282">
        <f>place!I76*100</f>
        <v>1.9483546358210369</v>
      </c>
      <c r="N56" s="282">
        <f>(inflacija!G64+nezaposlenost!W69)-(inflacija!G60+nezaposlenost!W65)</f>
        <v>-3.8924984298814653</v>
      </c>
      <c r="O56" s="282">
        <v>-0.16000000000000014</v>
      </c>
      <c r="P56" s="282">
        <f>krediti!I64</f>
        <v>-0.19383711145928828</v>
      </c>
      <c r="Q56" s="283"/>
      <c r="R56" s="294">
        <v>42551</v>
      </c>
      <c r="S56" s="282">
        <v>1.16009280742459</v>
      </c>
      <c r="T56" s="282">
        <f>place!P76*100</f>
        <v>1.9483546358210369</v>
      </c>
      <c r="U56" s="282">
        <f>(inflacija!J64+nezaposlenost!X69)-(inflacija!J60+nezaposlenost!X65)</f>
        <v>-3.8924984298814653</v>
      </c>
      <c r="V56" s="282">
        <v>-0.16000000000000014</v>
      </c>
      <c r="W56" s="282">
        <f>krediti!J64</f>
        <v>-0.19383711145928828</v>
      </c>
      <c r="AF56" s="280"/>
      <c r="AG56" s="280"/>
      <c r="AH56" s="280"/>
      <c r="AI56" s="280"/>
    </row>
    <row r="57" spans="1:35" s="281" customFormat="1" outlineLevel="1">
      <c r="A57" s="280"/>
      <c r="B57" s="280"/>
      <c r="C57" s="280"/>
      <c r="D57" s="294">
        <v>42643</v>
      </c>
      <c r="E57" s="282">
        <v>1.452032845984391</v>
      </c>
      <c r="F57" s="282">
        <f>place!B77*100</f>
        <v>1.2541411130300828</v>
      </c>
      <c r="G57" s="282">
        <f>(inflacija!C65+nezaposlenost!V70)-(inflacija!C61+nezaposlenost!V66)</f>
        <v>0.14135071004396238</v>
      </c>
      <c r="H57" s="282">
        <v>-0.54</v>
      </c>
      <c r="I57" s="282">
        <f>krediti!H65</f>
        <v>0.43816731632175276</v>
      </c>
      <c r="J57" s="283"/>
      <c r="K57" s="294">
        <v>42643</v>
      </c>
      <c r="L57" s="282">
        <v>1.452032845984391</v>
      </c>
      <c r="M57" s="282">
        <f>place!I77*100</f>
        <v>1.2541411130300828</v>
      </c>
      <c r="N57" s="282">
        <f>(inflacija!G65+nezaposlenost!W70)-(inflacija!G61+nezaposlenost!W66)</f>
        <v>0.14135071004396238</v>
      </c>
      <c r="O57" s="282">
        <v>-0.54</v>
      </c>
      <c r="P57" s="282">
        <f>krediti!I65</f>
        <v>0.43816731632175276</v>
      </c>
      <c r="Q57" s="283"/>
      <c r="R57" s="294">
        <v>42643</v>
      </c>
      <c r="S57" s="282">
        <v>1.452032845984391</v>
      </c>
      <c r="T57" s="282">
        <f>place!P77*100</f>
        <v>1.2541411130300828</v>
      </c>
      <c r="U57" s="282">
        <f>(inflacija!J65+nezaposlenost!X70)-(inflacija!J61+nezaposlenost!X66)</f>
        <v>0.14135071004396238</v>
      </c>
      <c r="V57" s="282">
        <v>-0.54</v>
      </c>
      <c r="W57" s="282">
        <f>krediti!J65</f>
        <v>0.43816731632175276</v>
      </c>
      <c r="AF57" s="280"/>
      <c r="AG57" s="280"/>
      <c r="AH57" s="280"/>
      <c r="AI57" s="280"/>
    </row>
    <row r="58" spans="1:35" s="281" customFormat="1" outlineLevel="1">
      <c r="C58" s="280"/>
      <c r="D58" s="294">
        <v>42735</v>
      </c>
      <c r="E58" s="282">
        <v>0.79031612645059113</v>
      </c>
      <c r="F58" s="282">
        <f>place!B78*100</f>
        <v>1.984059976565411</v>
      </c>
      <c r="G58" s="282">
        <f>(inflacija!C66+nezaposlenost!V71)-(inflacija!C62+nezaposlenost!V67)</f>
        <v>-0.62747407116136245</v>
      </c>
      <c r="H58" s="282">
        <v>-1.63</v>
      </c>
      <c r="I58" s="282">
        <f>krediti!H66</f>
        <v>1.1071854037444098</v>
      </c>
      <c r="J58" s="283"/>
      <c r="K58" s="294">
        <v>42735</v>
      </c>
      <c r="L58" s="282">
        <v>0.79031612645059113</v>
      </c>
      <c r="M58" s="282">
        <f>place!I78*100</f>
        <v>1.984059976565411</v>
      </c>
      <c r="N58" s="282">
        <f>(inflacija!G66+nezaposlenost!W71)-(inflacija!G62+nezaposlenost!W67)</f>
        <v>-0.62747407116136245</v>
      </c>
      <c r="O58" s="282">
        <v>-1.63</v>
      </c>
      <c r="P58" s="282">
        <f>krediti!I66</f>
        <v>1.1071854037444098</v>
      </c>
      <c r="Q58" s="283"/>
      <c r="R58" s="294">
        <v>42735</v>
      </c>
      <c r="S58" s="282">
        <v>0.79031612645059113</v>
      </c>
      <c r="T58" s="282">
        <f>place!P78*100</f>
        <v>1.984059976565411</v>
      </c>
      <c r="U58" s="282">
        <f>(inflacija!J66+nezaposlenost!X71)-(inflacija!J62+nezaposlenost!X67)</f>
        <v>-0.62747407116136245</v>
      </c>
      <c r="V58" s="282">
        <v>-1.63</v>
      </c>
      <c r="W58" s="282">
        <f>krediti!J66</f>
        <v>1.1071854037444098</v>
      </c>
      <c r="AF58" s="280"/>
      <c r="AG58" s="280"/>
      <c r="AH58" s="280"/>
      <c r="AI58" s="280"/>
    </row>
    <row r="59" spans="1:35" s="281" customFormat="1" outlineLevel="1">
      <c r="C59" s="280"/>
      <c r="D59" s="294">
        <v>42825</v>
      </c>
      <c r="E59" s="282">
        <v>-0.35569607746269583</v>
      </c>
      <c r="F59" s="282">
        <f>place!B79*100</f>
        <v>3.4599141067207739</v>
      </c>
      <c r="G59" s="282">
        <f>(inflacija!C67+nezaposlenost!V72)-(inflacija!C63+nezaposlenost!V68)</f>
        <v>0.74348710585968192</v>
      </c>
      <c r="H59" s="282">
        <v>-1.8200000000000003</v>
      </c>
      <c r="I59" s="282">
        <f>krediti!H67</f>
        <v>0.83939530992257971</v>
      </c>
      <c r="J59" s="283"/>
      <c r="K59" s="294">
        <v>42825</v>
      </c>
      <c r="L59" s="282">
        <v>-0.35569607746269583</v>
      </c>
      <c r="M59" s="282">
        <f>place!I79*100</f>
        <v>3.4599141067207739</v>
      </c>
      <c r="N59" s="282">
        <f>(inflacija!G67+nezaposlenost!W72)-(inflacija!G63+nezaposlenost!W68)</f>
        <v>0.74348710585968192</v>
      </c>
      <c r="O59" s="282">
        <v>-1.8200000000000003</v>
      </c>
      <c r="P59" s="282">
        <f>krediti!I67</f>
        <v>0.83939530992257971</v>
      </c>
      <c r="Q59" s="283"/>
      <c r="R59" s="294">
        <v>42825</v>
      </c>
      <c r="S59" s="282">
        <v>-0.35569607746269583</v>
      </c>
      <c r="T59" s="282">
        <f>place!P79*100</f>
        <v>3.4599141067207739</v>
      </c>
      <c r="U59" s="282">
        <f>(inflacija!J67+nezaposlenost!X72)-(inflacija!J63+nezaposlenost!X68)</f>
        <v>0.74348710585968192</v>
      </c>
      <c r="V59" s="282">
        <v>-1.8200000000000003</v>
      </c>
      <c r="W59" s="282">
        <f>krediti!J67</f>
        <v>0.83939530992257971</v>
      </c>
      <c r="AF59" s="280"/>
      <c r="AG59" s="280"/>
      <c r="AH59" s="280"/>
      <c r="AI59" s="280"/>
    </row>
    <row r="60" spans="1:35" s="281" customFormat="1" outlineLevel="1">
      <c r="C60" s="280"/>
      <c r="D60" s="294">
        <v>42916</v>
      </c>
      <c r="E60" s="282">
        <v>4.258077383326679</v>
      </c>
      <c r="F60" s="282">
        <f>place!B80*100</f>
        <v>3.4408831137661355</v>
      </c>
      <c r="G60" s="282">
        <f>(inflacija!C68+nezaposlenost!V73)-(inflacija!C64+nezaposlenost!V69)</f>
        <v>-1.1801575552689876</v>
      </c>
      <c r="H60" s="282">
        <v>-0.95999999999999952</v>
      </c>
      <c r="I60" s="282">
        <f>krediti!H68</f>
        <v>1.7238004938552933</v>
      </c>
      <c r="J60" s="283"/>
      <c r="K60" s="294">
        <v>42916</v>
      </c>
      <c r="L60" s="282">
        <v>4.258077383326679</v>
      </c>
      <c r="M60" s="282">
        <f>place!I80*100</f>
        <v>3.4408831137661355</v>
      </c>
      <c r="N60" s="282">
        <f>(inflacija!G68+nezaposlenost!W73)-(inflacija!G64+nezaposlenost!W69)</f>
        <v>-1.1801575552689876</v>
      </c>
      <c r="O60" s="282">
        <v>-0.95999999999999952</v>
      </c>
      <c r="P60" s="282">
        <f>krediti!I68</f>
        <v>1.7238004938552933</v>
      </c>
      <c r="Q60" s="283"/>
      <c r="R60" s="294">
        <v>42916</v>
      </c>
      <c r="S60" s="282">
        <v>4.258077383326679</v>
      </c>
      <c r="T60" s="282">
        <f>place!P80*100</f>
        <v>3.4408831137661355</v>
      </c>
      <c r="U60" s="282">
        <f>(inflacija!J68+nezaposlenost!X73)-(inflacija!J64+nezaposlenost!X69)</f>
        <v>-1.1801575552689876</v>
      </c>
      <c r="V60" s="282">
        <v>-0.95999999999999952</v>
      </c>
      <c r="W60" s="282">
        <f>krediti!J68</f>
        <v>1.7238004938552933</v>
      </c>
      <c r="AF60" s="280"/>
      <c r="AG60" s="280"/>
      <c r="AH60" s="280"/>
      <c r="AI60" s="280"/>
    </row>
    <row r="61" spans="1:35" s="281" customFormat="1" outlineLevel="1">
      <c r="C61" s="280"/>
      <c r="D61" s="294">
        <v>43008</v>
      </c>
      <c r="E61" s="282">
        <v>3.7706050735366574</v>
      </c>
      <c r="F61" s="282">
        <f>place!B81*100</f>
        <v>4.7355946115209768</v>
      </c>
      <c r="G61" s="282">
        <f>(inflacija!C69+nezaposlenost!V74)-(inflacija!C65+nezaposlenost!V70)</f>
        <v>-3.857159285718911</v>
      </c>
      <c r="H61" s="282">
        <v>-0.67999999999999972</v>
      </c>
      <c r="I61" s="282">
        <f>krediti!H69</f>
        <v>1.8781511318490089</v>
      </c>
      <c r="J61" s="283"/>
      <c r="K61" s="294">
        <v>43008</v>
      </c>
      <c r="L61" s="282">
        <v>3.7706050735366574</v>
      </c>
      <c r="M61" s="282">
        <f>place!I81*100</f>
        <v>4.7355946115209768</v>
      </c>
      <c r="N61" s="282">
        <f>(inflacija!G69+nezaposlenost!W74)-(inflacija!G65+nezaposlenost!W70)</f>
        <v>-3.857159285718911</v>
      </c>
      <c r="O61" s="282">
        <v>-0.67999999999999972</v>
      </c>
      <c r="P61" s="282">
        <f>krediti!I69</f>
        <v>1.8781511318490089</v>
      </c>
      <c r="Q61" s="283"/>
      <c r="R61" s="294">
        <v>43008</v>
      </c>
      <c r="S61" s="282">
        <v>3.7706050735366574</v>
      </c>
      <c r="T61" s="282">
        <f>place!P81*100</f>
        <v>4.7355946115209768</v>
      </c>
      <c r="U61" s="282">
        <f>(inflacija!J69+nezaposlenost!X74)-(inflacija!J65+nezaposlenost!X70)</f>
        <v>-3.857159285718911</v>
      </c>
      <c r="V61" s="282">
        <v>-0.67999999999999972</v>
      </c>
      <c r="W61" s="282">
        <f>krediti!J69</f>
        <v>1.8781511318490089</v>
      </c>
      <c r="AF61" s="280"/>
      <c r="AG61" s="280"/>
      <c r="AH61" s="280"/>
      <c r="AI61" s="280"/>
    </row>
    <row r="62" spans="1:35" s="281" customFormat="1" outlineLevel="1">
      <c r="C62" s="280"/>
      <c r="D62" s="294">
        <v>43100</v>
      </c>
      <c r="E62" s="282">
        <v>7.6426799007444117</v>
      </c>
      <c r="F62" s="282">
        <f>place!B82*100</f>
        <v>5.4568120233337902</v>
      </c>
      <c r="G62" s="282">
        <f>(inflacija!C70+nezaposlenost!V75)-(inflacija!C66+nezaposlenost!V71)</f>
        <v>-3.3625341269314006</v>
      </c>
      <c r="H62" s="282">
        <v>-0.43999999999999995</v>
      </c>
      <c r="I62" s="282">
        <f>krediti!H70</f>
        <v>2.8526205813892602</v>
      </c>
      <c r="J62" s="283"/>
      <c r="K62" s="294">
        <v>43100</v>
      </c>
      <c r="L62" s="282">
        <v>7.6426799007444117</v>
      </c>
      <c r="M62" s="282">
        <f>place!I82*100</f>
        <v>5.4568120233337902</v>
      </c>
      <c r="N62" s="282">
        <f>(inflacija!G70+nezaposlenost!W75)-(inflacija!G66+nezaposlenost!W71)</f>
        <v>-3.3625341269314006</v>
      </c>
      <c r="O62" s="282">
        <v>-0.43999999999999995</v>
      </c>
      <c r="P62" s="282">
        <f>krediti!I70</f>
        <v>2.8526205813892602</v>
      </c>
      <c r="Q62" s="283"/>
      <c r="R62" s="294">
        <v>43100</v>
      </c>
      <c r="S62" s="282">
        <v>7.6426799007444117</v>
      </c>
      <c r="T62" s="282">
        <f>place!P82*100</f>
        <v>5.4568120233337902</v>
      </c>
      <c r="U62" s="282">
        <f>(inflacija!J70+nezaposlenost!X75)-(inflacija!J66+nezaposlenost!X71)</f>
        <v>-3.3625341269314006</v>
      </c>
      <c r="V62" s="282">
        <v>-0.43999999999999995</v>
      </c>
      <c r="W62" s="282">
        <f>krediti!J70</f>
        <v>2.8526205813892602</v>
      </c>
      <c r="AF62" s="280"/>
      <c r="AG62" s="280"/>
      <c r="AH62" s="280"/>
      <c r="AI62" s="280"/>
    </row>
    <row r="63" spans="1:35" s="281" customFormat="1" outlineLevel="1">
      <c r="A63" s="280"/>
      <c r="B63" s="280"/>
      <c r="C63" s="280"/>
      <c r="D63" s="294">
        <v>43190</v>
      </c>
      <c r="E63" s="282">
        <v>8.5176003966286515</v>
      </c>
      <c r="F63" s="282">
        <f>place!B83*100</f>
        <v>4.1521690189609606</v>
      </c>
      <c r="G63" s="282">
        <f>(inflacija!C71+nezaposlenost!V76)-(inflacija!C67+nezaposlenost!V72)</f>
        <v>-5.5209867269174335</v>
      </c>
      <c r="H63" s="282">
        <v>-0.2799999999999998</v>
      </c>
      <c r="I63" s="282">
        <f>krediti!H71</f>
        <v>3.0508764767163967</v>
      </c>
      <c r="J63" s="283"/>
      <c r="K63" s="294">
        <v>43190</v>
      </c>
      <c r="L63" s="282">
        <v>8.5176003966286515</v>
      </c>
      <c r="M63" s="282">
        <f>place!I83*100</f>
        <v>4.1521690189609606</v>
      </c>
      <c r="N63" s="282">
        <f>(inflacija!G71+nezaposlenost!W76)-(inflacija!G67+nezaposlenost!W72)</f>
        <v>-5.5209867269174335</v>
      </c>
      <c r="O63" s="282">
        <v>-0.2799999999999998</v>
      </c>
      <c r="P63" s="282">
        <f>krediti!I71</f>
        <v>3.0508764767163967</v>
      </c>
      <c r="Q63" s="283"/>
      <c r="R63" s="294">
        <v>43190</v>
      </c>
      <c r="S63" s="282">
        <v>8.5176003966286515</v>
      </c>
      <c r="T63" s="282">
        <f>place!P83*100</f>
        <v>4.1521690189609606</v>
      </c>
      <c r="U63" s="282">
        <f>(inflacija!J71+nezaposlenost!X76)-(inflacija!J67+nezaposlenost!X72)</f>
        <v>-5.5209867269174335</v>
      </c>
      <c r="V63" s="282">
        <v>-0.2799999999999998</v>
      </c>
      <c r="W63" s="282">
        <f>krediti!J71</f>
        <v>3.0508764767163967</v>
      </c>
      <c r="AF63" s="280"/>
      <c r="AG63" s="280"/>
      <c r="AH63" s="280"/>
      <c r="AI63" s="280"/>
    </row>
    <row r="64" spans="1:35" s="281" customFormat="1" outlineLevel="1">
      <c r="A64" s="280"/>
      <c r="B64" s="280"/>
      <c r="C64" s="280"/>
      <c r="D64" s="294">
        <v>43281</v>
      </c>
      <c r="E64" s="282">
        <v>4.505021520803453</v>
      </c>
      <c r="F64" s="282">
        <f>place!B84*100</f>
        <v>6.4494672721802315</v>
      </c>
      <c r="G64" s="282">
        <f>(inflacija!C72+nezaposlenost!V77)-(inflacija!C68+nezaposlenost!V73)</f>
        <v>-1.8675264255062594</v>
      </c>
      <c r="H64" s="282">
        <v>-0.43000000000000016</v>
      </c>
      <c r="I64" s="282">
        <f>krediti!H72</f>
        <v>4.1054483670102542</v>
      </c>
      <c r="J64" s="283"/>
      <c r="K64" s="294">
        <v>43281</v>
      </c>
      <c r="L64" s="282">
        <v>4.505021520803453</v>
      </c>
      <c r="M64" s="282">
        <f>place!I84*100</f>
        <v>6.4494672721802315</v>
      </c>
      <c r="N64" s="282">
        <f>(inflacija!G72+nezaposlenost!W77)-(inflacija!G68+nezaposlenost!W73)</f>
        <v>-1.8675264255062594</v>
      </c>
      <c r="O64" s="282">
        <v>-0.43000000000000016</v>
      </c>
      <c r="P64" s="282">
        <f>krediti!I72</f>
        <v>4.1054483670102542</v>
      </c>
      <c r="Q64" s="283"/>
      <c r="R64" s="294">
        <v>43281</v>
      </c>
      <c r="S64" s="282">
        <v>4.505021520803453</v>
      </c>
      <c r="T64" s="282">
        <f>place!P84*100</f>
        <v>6.4494672721802315</v>
      </c>
      <c r="U64" s="282">
        <f>(inflacija!J72+nezaposlenost!X77)-(inflacija!J68+nezaposlenost!X73)</f>
        <v>-1.8675264255062594</v>
      </c>
      <c r="V64" s="282">
        <v>-0.43000000000000016</v>
      </c>
      <c r="W64" s="282">
        <f>krediti!J72</f>
        <v>4.1054483670102542</v>
      </c>
      <c r="AF64" s="280"/>
      <c r="AG64" s="280"/>
      <c r="AH64" s="280"/>
      <c r="AI64" s="280"/>
    </row>
    <row r="65" spans="1:35" s="281" customFormat="1" outlineLevel="1">
      <c r="A65" s="280"/>
      <c r="B65" s="280"/>
      <c r="C65" s="280"/>
      <c r="D65" s="294">
        <v>43373</v>
      </c>
      <c r="E65" s="282">
        <v>6.8391515266812348</v>
      </c>
      <c r="F65" s="282">
        <f>place!B85*100</f>
        <v>4.8266186344143591</v>
      </c>
      <c r="G65" s="282">
        <f>(inflacija!C73+nezaposlenost!V78)-(inflacija!C69+nezaposlenost!V74)</f>
        <v>-3.5322066208921497</v>
      </c>
      <c r="H65" s="282">
        <v>-1.0000000000000231E-2</v>
      </c>
      <c r="I65" s="282">
        <f>krediti!H73</f>
        <v>4.5564374132871279</v>
      </c>
      <c r="J65" s="283"/>
      <c r="K65" s="294">
        <v>43373</v>
      </c>
      <c r="L65" s="282">
        <v>6.8391515266812348</v>
      </c>
      <c r="M65" s="282">
        <f>place!I85*100</f>
        <v>4.8266186344143591</v>
      </c>
      <c r="N65" s="282">
        <f>(inflacija!G73+nezaposlenost!W78)-(inflacija!G69+nezaposlenost!W74)</f>
        <v>-3.5322066208921497</v>
      </c>
      <c r="O65" s="282">
        <v>-1.0000000000000231E-2</v>
      </c>
      <c r="P65" s="282">
        <f>krediti!I73</f>
        <v>4.5564374132871279</v>
      </c>
      <c r="Q65" s="283"/>
      <c r="R65" s="294">
        <v>43373</v>
      </c>
      <c r="S65" s="282">
        <v>6.8391515266812348</v>
      </c>
      <c r="T65" s="282">
        <f>place!P85*100</f>
        <v>4.8266186344143591</v>
      </c>
      <c r="U65" s="282">
        <f>(inflacija!J73+nezaposlenost!X78)-(inflacija!J69+nezaposlenost!X74)</f>
        <v>-3.5322066208921497</v>
      </c>
      <c r="V65" s="282">
        <v>-1.0000000000000231E-2</v>
      </c>
      <c r="W65" s="282">
        <f>krediti!J73</f>
        <v>4.5564374132871279</v>
      </c>
      <c r="AF65" s="280"/>
      <c r="AG65" s="280"/>
      <c r="AH65" s="280"/>
      <c r="AI65" s="280"/>
    </row>
    <row r="66" spans="1:35" s="281" customFormat="1" outlineLevel="1">
      <c r="A66" s="280"/>
      <c r="B66" s="280"/>
      <c r="C66" s="280"/>
      <c r="D66" s="294">
        <v>43465</v>
      </c>
      <c r="E66" s="282">
        <v>4.6934071000461159</v>
      </c>
      <c r="F66" s="282">
        <f>place!B86*100</f>
        <v>1.0503535982684387</v>
      </c>
      <c r="G66" s="282">
        <f>(inflacija!C74+nezaposlenost!V79)-(inflacija!C70+nezaposlenost!V75)</f>
        <v>3.3821875456716555E-3</v>
      </c>
      <c r="H66" s="282">
        <v>-0.14999999999999991</v>
      </c>
      <c r="I66" s="282">
        <f>krediti!H74</f>
        <v>4.3974496686121682</v>
      </c>
      <c r="J66" s="283"/>
      <c r="K66" s="294">
        <v>43465</v>
      </c>
      <c r="L66" s="282">
        <v>4.6934071000461159</v>
      </c>
      <c r="M66" s="282">
        <f>place!I86*100</f>
        <v>1.0503535982684387</v>
      </c>
      <c r="N66" s="282">
        <f>(inflacija!G74+nezaposlenost!W79)-(inflacija!G70+nezaposlenost!W75)</f>
        <v>3.3821875456716555E-3</v>
      </c>
      <c r="O66" s="282">
        <v>-0.14999999999999991</v>
      </c>
      <c r="P66" s="282">
        <f>krediti!I74</f>
        <v>4.3974496686121682</v>
      </c>
      <c r="Q66" s="283"/>
      <c r="R66" s="294">
        <v>43465</v>
      </c>
      <c r="S66" s="282">
        <v>4.6934071000461159</v>
      </c>
      <c r="T66" s="282">
        <f>place!P86*100</f>
        <v>1.0503535982684387</v>
      </c>
      <c r="U66" s="282">
        <f>(inflacija!J74+nezaposlenost!X79)-(inflacija!J70+nezaposlenost!X75)</f>
        <v>3.3821875456716555E-3</v>
      </c>
      <c r="V66" s="282">
        <v>-0.14999999999999991</v>
      </c>
      <c r="W66" s="282">
        <f>krediti!J74</f>
        <v>4.3974496686121682</v>
      </c>
      <c r="AF66" s="280"/>
      <c r="AG66" s="280"/>
      <c r="AH66" s="280"/>
      <c r="AI66" s="280"/>
    </row>
    <row r="67" spans="1:35" s="281" customFormat="1" outlineLevel="1">
      <c r="A67" s="280"/>
      <c r="B67" s="280"/>
      <c r="C67" s="280"/>
      <c r="D67" s="294">
        <v>43555</v>
      </c>
      <c r="E67" s="282">
        <v>7.4104532163742647</v>
      </c>
      <c r="F67" s="282">
        <f>place!B87*100</f>
        <v>4.4051410463139318</v>
      </c>
      <c r="G67" s="282">
        <f>(inflacija!C75+nezaposlenost!V80)-(inflacija!C71+nezaposlenost!V76)</f>
        <v>-2.1760444103535601</v>
      </c>
      <c r="H67" s="282">
        <v>-0.26000000000000023</v>
      </c>
      <c r="I67" s="282">
        <f>krediti!H75</f>
        <v>4.5609377229903316</v>
      </c>
      <c r="J67" s="283"/>
      <c r="K67" s="294">
        <v>43555</v>
      </c>
      <c r="L67" s="282">
        <v>7.4104532163742647</v>
      </c>
      <c r="M67" s="282">
        <f>place!I87*100</f>
        <v>4.4051410463139318</v>
      </c>
      <c r="N67" s="282">
        <f>(inflacija!G75+nezaposlenost!W80)-(inflacija!G71+nezaposlenost!W76)</f>
        <v>-2.1760444103535601</v>
      </c>
      <c r="O67" s="282">
        <v>-0.26000000000000023</v>
      </c>
      <c r="P67" s="282">
        <f>krediti!I75</f>
        <v>4.5609377229903316</v>
      </c>
      <c r="Q67" s="283"/>
      <c r="R67" s="294">
        <v>43555</v>
      </c>
      <c r="S67" s="282">
        <v>7.4104532163742647</v>
      </c>
      <c r="T67" s="282">
        <f>place!P87*100</f>
        <v>4.4051410463139318</v>
      </c>
      <c r="U67" s="282">
        <f>(inflacija!J75+nezaposlenost!X80)-(inflacija!J71+nezaposlenost!X76)</f>
        <v>-2.1760444103535601</v>
      </c>
      <c r="V67" s="282">
        <v>-0.26000000000000023</v>
      </c>
      <c r="W67" s="282">
        <f>krediti!J75</f>
        <v>4.5609377229903316</v>
      </c>
      <c r="AF67" s="280"/>
      <c r="AG67" s="280"/>
      <c r="AH67" s="280"/>
      <c r="AI67" s="280"/>
    </row>
    <row r="68" spans="1:35" s="281" customFormat="1" outlineLevel="1">
      <c r="A68" s="280"/>
      <c r="B68" s="280"/>
      <c r="C68" s="280"/>
      <c r="D68" s="294">
        <v>43646</v>
      </c>
      <c r="E68" s="282">
        <v>10.378912685337724</v>
      </c>
      <c r="F68" s="282">
        <f>place!B88*100</f>
        <v>2.1162009264757753</v>
      </c>
      <c r="G68" s="282">
        <f>(inflacija!C76+nezaposlenost!V81)-(inflacija!C72+nezaposlenost!V77)</f>
        <v>-0.71607999259152066</v>
      </c>
      <c r="H68" s="282">
        <v>-0.33000000000000007</v>
      </c>
      <c r="I68" s="282">
        <f>krediti!H76</f>
        <v>3.5782051666062098</v>
      </c>
      <c r="J68" s="283"/>
      <c r="K68" s="294">
        <v>43646</v>
      </c>
      <c r="L68" s="282">
        <v>10.378912685337724</v>
      </c>
      <c r="M68" s="282">
        <f>place!I88*100</f>
        <v>2.1162009264757753</v>
      </c>
      <c r="N68" s="282">
        <f>(inflacija!G76+nezaposlenost!W81)-(inflacija!G72+nezaposlenost!W77)</f>
        <v>-0.71607999259152066</v>
      </c>
      <c r="O68" s="282">
        <v>-0.33000000000000007</v>
      </c>
      <c r="P68" s="282">
        <f>krediti!I76</f>
        <v>3.5782051666062098</v>
      </c>
      <c r="Q68" s="283"/>
      <c r="R68" s="294">
        <v>43646</v>
      </c>
      <c r="S68" s="282">
        <v>10.378912685337724</v>
      </c>
      <c r="T68" s="282">
        <f>place!P88*100</f>
        <v>2.1162009264757753</v>
      </c>
      <c r="U68" s="282">
        <f>(inflacija!J76+nezaposlenost!X81)-(inflacija!J72+nezaposlenost!X77)</f>
        <v>-0.71607999259152066</v>
      </c>
      <c r="V68" s="282">
        <v>-0.33000000000000007</v>
      </c>
      <c r="W68" s="282">
        <f>krediti!J76</f>
        <v>3.5782051666062098</v>
      </c>
      <c r="AF68" s="280"/>
      <c r="AG68" s="280"/>
      <c r="AH68" s="280"/>
      <c r="AI68" s="280"/>
    </row>
    <row r="69" spans="1:35" s="281" customFormat="1" outlineLevel="1">
      <c r="A69" s="324"/>
      <c r="B69" s="109" t="s">
        <v>185</v>
      </c>
      <c r="C69" s="280"/>
      <c r="D69" s="294">
        <v>43738</v>
      </c>
      <c r="E69" s="282">
        <v>8.0484330484330542</v>
      </c>
      <c r="F69" s="282">
        <f>place!B89*100</f>
        <v>3.7749571122218883</v>
      </c>
      <c r="G69" s="282">
        <f>(inflacija!C77+nezaposlenost!V82)-(inflacija!C73+nezaposlenost!V78)</f>
        <v>1.2316289323951208</v>
      </c>
      <c r="H69" s="282">
        <v>-0.67999999999999972</v>
      </c>
      <c r="I69" s="282">
        <f>krediti!H77</f>
        <v>2.9502087381398918</v>
      </c>
      <c r="J69" s="283"/>
      <c r="K69" s="294">
        <v>43738</v>
      </c>
      <c r="L69" s="282">
        <v>8.0484330484330542</v>
      </c>
      <c r="M69" s="282">
        <f>place!I89*100</f>
        <v>3.7749571122218883</v>
      </c>
      <c r="N69" s="282">
        <f>(inflacija!G77+nezaposlenost!W82)-(inflacija!G73+nezaposlenost!W78)</f>
        <v>1.2316289323951208</v>
      </c>
      <c r="O69" s="282">
        <v>-0.67999999999999972</v>
      </c>
      <c r="P69" s="282">
        <f>krediti!I77</f>
        <v>2.9502087381398918</v>
      </c>
      <c r="Q69" s="283"/>
      <c r="R69" s="294">
        <v>43738</v>
      </c>
      <c r="S69" s="282">
        <v>8.0484330484330542</v>
      </c>
      <c r="T69" s="282">
        <f>place!P89*100</f>
        <v>3.7749571122218883</v>
      </c>
      <c r="U69" s="282">
        <f>(inflacija!J77+nezaposlenost!X82)-(inflacija!J73+nezaposlenost!X78)</f>
        <v>1.2316289323951208</v>
      </c>
      <c r="V69" s="282">
        <v>-0.67999999999999972</v>
      </c>
      <c r="W69" s="282">
        <f>krediti!J77</f>
        <v>2.9502087381398918</v>
      </c>
      <c r="AF69" s="280"/>
      <c r="AG69" s="280"/>
      <c r="AH69" s="280"/>
      <c r="AI69" s="280"/>
    </row>
    <row r="70" spans="1:35" s="281" customFormat="1">
      <c r="A70" s="109" t="s">
        <v>78</v>
      </c>
      <c r="B70" s="323">
        <v>-3.0048261191141701</v>
      </c>
      <c r="C70" s="280"/>
      <c r="D70" s="294">
        <v>43830</v>
      </c>
      <c r="E70" s="282">
        <v>6.8874405495860316</v>
      </c>
      <c r="F70" s="282">
        <f>place!B90*100</f>
        <v>5.611200615055556</v>
      </c>
      <c r="G70" s="282">
        <f>(inflacija!C78+nezaposlenost!V83)-(inflacija!C74+nezaposlenost!V79)</f>
        <v>-3.079660080382622</v>
      </c>
      <c r="H70" s="282">
        <v>-0.4700000000000002</v>
      </c>
      <c r="I70" s="282">
        <f>krediti!H78</f>
        <v>4.1832089500657466</v>
      </c>
      <c r="J70" s="283"/>
      <c r="K70" s="294">
        <v>43830</v>
      </c>
      <c r="L70" s="282">
        <v>6.8874405495860316</v>
      </c>
      <c r="M70" s="282">
        <f>place!I90*100</f>
        <v>5.611200615055556</v>
      </c>
      <c r="N70" s="282">
        <f>(inflacija!G78+nezaposlenost!W83)-(inflacija!G74+nezaposlenost!W79)</f>
        <v>-3.079660080382622</v>
      </c>
      <c r="O70" s="282">
        <v>-0.4700000000000002</v>
      </c>
      <c r="P70" s="282">
        <f>krediti!I78</f>
        <v>4.1832089500657466</v>
      </c>
      <c r="Q70" s="283"/>
      <c r="R70" s="294">
        <v>43830</v>
      </c>
      <c r="S70" s="282">
        <v>6.8874405495860316</v>
      </c>
      <c r="T70" s="282">
        <f>place!P90*100</f>
        <v>5.611200615055556</v>
      </c>
      <c r="U70" s="282">
        <f>(inflacija!J78+nezaposlenost!X83)-(inflacija!J74+nezaposlenost!X79)</f>
        <v>-3.079660080382622</v>
      </c>
      <c r="V70" s="282">
        <v>-0.4700000000000002</v>
      </c>
      <c r="W70" s="282">
        <f>krediti!J78</f>
        <v>4.1832089500657466</v>
      </c>
      <c r="AF70" s="280"/>
      <c r="AG70" s="280"/>
      <c r="AH70" s="280"/>
      <c r="AI70" s="280"/>
    </row>
    <row r="71" spans="1:35" s="281" customFormat="1">
      <c r="A71" s="109" t="s">
        <v>934</v>
      </c>
      <c r="B71" s="323">
        <v>0.66989152012636299</v>
      </c>
      <c r="C71" s="280"/>
      <c r="D71" s="295">
        <v>43921</v>
      </c>
      <c r="E71" s="285">
        <f>+$B$70+$B$71*F71+$B$72*G71+$B$73*H71+$B$74*I71</f>
        <v>-1.6879977315294048</v>
      </c>
      <c r="F71" s="284">
        <f>place!B91*100</f>
        <v>2.7195887531303322</v>
      </c>
      <c r="G71" s="284">
        <f>(inflacija!C79+nezaposlenost!V84)-(inflacija!C75+nezaposlenost!V80)</f>
        <v>0.76638195974816625</v>
      </c>
      <c r="H71" s="284">
        <f>(kstope!C75-kstope!C74)/4</f>
        <v>0.10895904705539439</v>
      </c>
      <c r="I71" s="284">
        <f>krediti!H79</f>
        <v>1</v>
      </c>
      <c r="J71" s="283"/>
      <c r="K71" s="295">
        <v>43921</v>
      </c>
      <c r="L71" s="285">
        <f>+$B$70+$B$71*M71+$B$72*N71+$B$73*O71+$B$74*P71</f>
        <v>0.67826618873987865</v>
      </c>
      <c r="M71" s="284">
        <f>place!I91*100</f>
        <v>2.7089726262174629</v>
      </c>
      <c r="N71" s="284">
        <f>(inflacija!G79+nezaposlenost!W84)-(inflacija!G75+nezaposlenost!W80)</f>
        <v>0.72621576193552961</v>
      </c>
      <c r="O71" s="284">
        <f>(kstope!G75-kstope!G74)/4</f>
        <v>0.10895904705539439</v>
      </c>
      <c r="P71" s="284">
        <f>+[2]data_promjene!J81</f>
        <v>5.822063210362316</v>
      </c>
      <c r="Q71" s="283"/>
      <c r="R71" s="295">
        <v>43921</v>
      </c>
      <c r="S71" s="285">
        <f>+$B$70+$B$71*T71+$B$72*U71+$B$73*V71+$B$74*W71</f>
        <v>0.69941555030490177</v>
      </c>
      <c r="T71" s="284">
        <f>place!P91*100</f>
        <v>2.7000741766576506</v>
      </c>
      <c r="U71" s="284">
        <f>(inflacija!J79+nezaposlenost!X84)-(inflacija!J75+nezaposlenost!X80)</f>
        <v>0.69254840959708552</v>
      </c>
      <c r="V71" s="284">
        <f>(kstope!J75-kstope!J74)/4</f>
        <v>0.10895904705539439</v>
      </c>
      <c r="W71" s="284">
        <f>+[2]data_promjene!J88</f>
        <v>5.822063210362316</v>
      </c>
      <c r="AF71" s="280"/>
      <c r="AG71" s="280"/>
      <c r="AH71" s="280"/>
      <c r="AI71" s="280"/>
    </row>
    <row r="72" spans="1:35" s="281" customFormat="1">
      <c r="A72" s="109" t="s">
        <v>933</v>
      </c>
      <c r="B72" s="323">
        <v>-0.80524174264980097</v>
      </c>
      <c r="C72" s="280"/>
      <c r="D72" s="295">
        <v>44012</v>
      </c>
      <c r="E72" s="285">
        <f>+$B$70+$B$71*F72+$B$72*G72+$B$73*H72+$B$74*I72</f>
        <v>-6.0437453095754643</v>
      </c>
      <c r="F72" s="284">
        <f>place!B92*100</f>
        <v>0.24659376097597763</v>
      </c>
      <c r="G72" s="284">
        <f>(inflacija!C80+nezaposlenost!V85)-(inflacija!C76+nezaposlenost!V81)</f>
        <v>4.6446457463807427</v>
      </c>
      <c r="H72" s="284">
        <f>(kstope!C76-kstope!C75)/4</f>
        <v>-1.4728452760859323E-2</v>
      </c>
      <c r="I72" s="284">
        <f>krediti!H80</f>
        <v>1</v>
      </c>
      <c r="J72" s="283"/>
      <c r="K72" s="295">
        <v>44012</v>
      </c>
      <c r="L72" s="285">
        <f>+$B$70+$B$71*M72+$B$72*N72+$B$73*O72+$B$74*P72</f>
        <v>-4.5926518509530725</v>
      </c>
      <c r="M72" s="284">
        <f>place!I92*100</f>
        <v>0.23529053862272931</v>
      </c>
      <c r="N72" s="284">
        <f>(inflacija!G80+nezaposlenost!W85)-(inflacija!G76+nezaposlenost!W81)</f>
        <v>4.6018799176856806</v>
      </c>
      <c r="O72" s="284">
        <f>(kstope!G76-kstope!G75)/4</f>
        <v>-1.5126757871920082E-2</v>
      </c>
      <c r="P72" s="284">
        <f>+[2]data_promjene!J82</f>
        <v>3.930817935408129</v>
      </c>
      <c r="Q72" s="283"/>
      <c r="R72" s="295">
        <v>44012</v>
      </c>
      <c r="S72" s="285">
        <f>+$B$70+$B$71*T72+$B$72*U72+$B$73*V72+$B$74*W72</f>
        <v>-4.5685437346069175</v>
      </c>
      <c r="T72" s="284">
        <f>place!P92*100</f>
        <v>0.22581601007845678</v>
      </c>
      <c r="U72" s="284">
        <f>(inflacija!J80+nezaposlenost!X85)-(inflacija!J76+nezaposlenost!X81)</f>
        <v>4.5660329660794972</v>
      </c>
      <c r="V72" s="284">
        <f>(kstope!J76-kstope!J75)/4</f>
        <v>-1.5590643143036154E-2</v>
      </c>
      <c r="W72" s="284">
        <f>+[2]data_promjene!J89</f>
        <v>3.930817935408129</v>
      </c>
      <c r="AF72" s="280"/>
      <c r="AG72" s="280"/>
      <c r="AH72" s="280"/>
      <c r="AI72" s="280"/>
    </row>
    <row r="73" spans="1:35" s="281" customFormat="1">
      <c r="A73" s="109" t="s">
        <v>932</v>
      </c>
      <c r="B73" s="323">
        <v>-3.42662506030412</v>
      </c>
      <c r="C73" s="280"/>
      <c r="D73" s="295">
        <v>44104</v>
      </c>
      <c r="E73" s="285">
        <f>+$B$70+$B$71*F73+$B$72*G73+$B$73*H73+$B$74*I73</f>
        <v>-12.954897289258525</v>
      </c>
      <c r="F73" s="284">
        <f>place!B93*100</f>
        <v>-7.5340354149558033</v>
      </c>
      <c r="G73" s="284">
        <f>(inflacija!C81+nezaposlenost!V86)-(inflacija!C77+nezaposlenost!V82)</f>
        <v>6.7159983572556055</v>
      </c>
      <c r="H73" s="284">
        <f>(kstope!C77-kstope!C76)/4</f>
        <v>-5.6714690204953122E-3</v>
      </c>
      <c r="I73" s="284">
        <f>krediti!H81</f>
        <v>1</v>
      </c>
      <c r="J73" s="283"/>
      <c r="K73" s="295">
        <v>44104</v>
      </c>
      <c r="L73" s="285">
        <f>+$B$70+$B$71*M73+$B$72*N73+$B$73*O73+$B$74*P73</f>
        <v>-10.555729805620279</v>
      </c>
      <c r="M73" s="284">
        <f>place!I93*100</f>
        <v>-6.5810299386753064</v>
      </c>
      <c r="N73" s="284">
        <f>(inflacija!G81+nezaposlenost!W86)-(inflacija!G77+nezaposlenost!W82)</f>
        <v>5.868125317659544</v>
      </c>
      <c r="O73" s="284">
        <f>(kstope!G77-kstope!G76)/4</f>
        <v>-7.116748538266382E-3</v>
      </c>
      <c r="P73" s="284">
        <f>+[2]data_promjene!J83</f>
        <v>3.2102955598253544</v>
      </c>
      <c r="Q73" s="283"/>
      <c r="R73" s="295">
        <v>44104</v>
      </c>
      <c r="S73" s="285">
        <f>+$B$70+$B$71*T73+$B$72*U73+$B$73*V73+$B$74*W73</f>
        <v>-9.2174275547377018</v>
      </c>
      <c r="T73" s="284">
        <f>place!P93*100</f>
        <v>-5.437464015044748</v>
      </c>
      <c r="U73" s="284">
        <f>(inflacija!J81+nezaposlenost!X86)-(inflacija!J77+nezaposlenost!X82)</f>
        <v>5.1646655141537874</v>
      </c>
      <c r="V73" s="284">
        <f>(kstope!J77-kstope!J76)/4</f>
        <v>-8.8041049826337314E-3</v>
      </c>
      <c r="W73" s="284">
        <f>+[2]data_promjene!J90</f>
        <v>3.2102955598253544</v>
      </c>
      <c r="AF73" s="280"/>
      <c r="AG73" s="280"/>
      <c r="AH73" s="280"/>
      <c r="AI73" s="280"/>
    </row>
    <row r="74" spans="1:35" s="281" customFormat="1">
      <c r="A74" s="109" t="s">
        <v>931</v>
      </c>
      <c r="B74" s="323">
        <v>0.48548348962158</v>
      </c>
      <c r="C74" s="280"/>
      <c r="D74" s="295">
        <v>44196</v>
      </c>
      <c r="E74" s="285">
        <f>+$B$70+$B$71*F74+$B$72*G74+$B$73*H74+$B$74*I74</f>
        <v>-16.726118670129559</v>
      </c>
      <c r="F74" s="284">
        <f>place!B94*100</f>
        <v>-13.247688051731252</v>
      </c>
      <c r="G74" s="284">
        <f>(inflacija!C82+nezaposlenost!V87)-(inflacija!C78+nezaposlenost!V83)</f>
        <v>6.6112428039979392</v>
      </c>
      <c r="H74" s="284">
        <f>(kstope!C78-kstope!C77)/4</f>
        <v>2.5136911039345122E-3</v>
      </c>
      <c r="I74" s="284">
        <f>krediti!H82</f>
        <v>1</v>
      </c>
      <c r="J74" s="283"/>
      <c r="K74" s="295">
        <v>44196</v>
      </c>
      <c r="L74" s="285">
        <f>+$B$70+$B$71*M74+$B$72*N74+$B$73*O74+$B$74*P74</f>
        <v>-14.757627835862554</v>
      </c>
      <c r="M74" s="284">
        <f>place!I94*100</f>
        <v>-11.550047508130751</v>
      </c>
      <c r="N74" s="284">
        <f>(inflacija!G82+nezaposlenost!W87)-(inflacija!G78+nezaposlenost!W83)</f>
        <v>5.5260792443762181</v>
      </c>
      <c r="O74" s="284">
        <f>(kstope!G78-kstope!G77)/4</f>
        <v>6.2549503731168521E-4</v>
      </c>
      <c r="P74" s="284">
        <f>+[2]data_promjene!J84</f>
        <v>0.89900108462511241</v>
      </c>
      <c r="Q74" s="283"/>
      <c r="R74" s="295">
        <v>44196</v>
      </c>
      <c r="S74" s="285">
        <f>+$B$70+$B$71*T74+$B$72*U74+$B$73*V74+$B$74*W74</f>
        <v>-12.440413074504194</v>
      </c>
      <c r="T74" s="284">
        <f>place!P94*100</f>
        <v>-9.2041415232385884</v>
      </c>
      <c r="U74" s="284">
        <f>(inflacija!J82+nezaposlenost!X87)-(inflacija!J78+nezaposlenost!X83)</f>
        <v>4.60959559402</v>
      </c>
      <c r="V74" s="284">
        <f>(kstope!J78-kstope!J77)/4</f>
        <v>-1.627842636533483E-3</v>
      </c>
      <c r="W74" s="284">
        <f>+[2]data_promjene!J91</f>
        <v>0.89900108462511241</v>
      </c>
      <c r="AF74" s="280"/>
      <c r="AG74" s="280"/>
      <c r="AH74" s="280"/>
      <c r="AI74" s="280"/>
    </row>
    <row r="78" spans="1:35" ht="15" customHeight="1"/>
  </sheetData>
  <mergeCells count="3">
    <mergeCell ref="D1:I1"/>
    <mergeCell ref="K1:P1"/>
    <mergeCell ref="R1:W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0"/>
  <sheetViews>
    <sheetView topLeftCell="N5" zoomScale="87" workbookViewId="0">
      <selection activeCell="Z24" sqref="Z24"/>
    </sheetView>
  </sheetViews>
  <sheetFormatPr defaultColWidth="12.59765625" defaultRowHeight="15" customHeight="1"/>
  <cols>
    <col min="1" max="1" width="9.19921875" customWidth="1"/>
    <col min="2" max="2" width="11" customWidth="1"/>
    <col min="3" max="3" width="15.5" customWidth="1"/>
    <col min="4" max="4" width="12" customWidth="1"/>
    <col min="5" max="12" width="11.09765625" customWidth="1"/>
    <col min="13" max="13" width="23.8984375" customWidth="1"/>
    <col min="14" max="14" width="17.19921875" customWidth="1"/>
    <col min="15" max="19" width="11.09765625" customWidth="1"/>
    <col min="20" max="20" width="13.3984375" customWidth="1"/>
    <col min="21" max="21" width="11.19921875" customWidth="1"/>
    <col min="22" max="24" width="11.09765625" customWidth="1"/>
    <col min="25" max="25" width="10.19921875" customWidth="1"/>
    <col min="26" max="27" width="11.09765625" customWidth="1"/>
    <col min="28" max="28" width="10.19921875" customWidth="1"/>
    <col min="29" max="29" width="12" customWidth="1"/>
    <col min="30" max="30" width="21.19921875" customWidth="1"/>
    <col min="31" max="32" width="10.19921875" customWidth="1"/>
    <col min="33" max="33" width="11.09765625" customWidth="1"/>
    <col min="34" max="37" width="10.19921875" customWidth="1"/>
    <col min="38" max="38" width="9" customWidth="1"/>
    <col min="39" max="39" width="11.09765625" customWidth="1"/>
    <col min="40" max="40" width="10.19921875" customWidth="1"/>
    <col min="41" max="41" width="9" customWidth="1"/>
    <col min="42" max="45" width="10.19921875" customWidth="1"/>
    <col min="46" max="46" width="12.09765625" bestFit="1" customWidth="1"/>
    <col min="47" max="47" width="11.69921875" customWidth="1"/>
    <col min="48" max="48" width="14.19921875" bestFit="1" customWidth="1"/>
    <col min="49" max="53" width="11.09765625" bestFit="1" customWidth="1"/>
    <col min="54" max="56" width="10.19921875" customWidth="1"/>
    <col min="58" max="58" width="13.69921875" bestFit="1" customWidth="1"/>
  </cols>
  <sheetData>
    <row r="1" spans="1:58" ht="14.25" customHeight="1">
      <c r="A1" s="394" t="s">
        <v>5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8"/>
    </row>
    <row r="2" spans="1:58" ht="14.25" customHeight="1">
      <c r="A2" s="2" t="s">
        <v>23</v>
      </c>
      <c r="B2" s="374" t="s">
        <v>234</v>
      </c>
      <c r="C2" s="357"/>
      <c r="D2" s="357"/>
      <c r="E2" s="357"/>
      <c r="F2" s="357"/>
      <c r="G2" s="357"/>
      <c r="H2" s="357"/>
      <c r="I2" s="357"/>
      <c r="J2" s="357"/>
      <c r="K2" s="357"/>
      <c r="L2" s="358"/>
      <c r="M2" s="375" t="s">
        <v>236</v>
      </c>
      <c r="N2" s="357"/>
      <c r="O2" s="357"/>
      <c r="P2" s="357"/>
      <c r="Q2" s="357"/>
      <c r="R2" s="357"/>
      <c r="S2" s="358"/>
      <c r="T2" s="376" t="s">
        <v>237</v>
      </c>
      <c r="U2" s="378" t="s">
        <v>238</v>
      </c>
      <c r="V2" s="379"/>
      <c r="W2" s="379"/>
      <c r="X2" s="379"/>
      <c r="Y2" s="379"/>
      <c r="Z2" s="379"/>
      <c r="AA2" s="379"/>
      <c r="AB2" s="380"/>
      <c r="AC2" s="391" t="s">
        <v>240</v>
      </c>
      <c r="AD2" s="392" t="s">
        <v>241</v>
      </c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</row>
    <row r="3" spans="1:58" ht="41.25" customHeight="1">
      <c r="A3" s="2" t="s">
        <v>25</v>
      </c>
      <c r="B3" s="386" t="s">
        <v>242</v>
      </c>
      <c r="C3" s="357"/>
      <c r="D3" s="358"/>
      <c r="E3" s="389" t="s">
        <v>243</v>
      </c>
      <c r="F3" s="357"/>
      <c r="G3" s="357"/>
      <c r="H3" s="358"/>
      <c r="I3" s="390" t="s">
        <v>244</v>
      </c>
      <c r="J3" s="357"/>
      <c r="K3" s="358"/>
      <c r="L3" s="136" t="s">
        <v>245</v>
      </c>
      <c r="M3" s="346" t="s">
        <v>247</v>
      </c>
      <c r="N3" s="346" t="s">
        <v>248</v>
      </c>
      <c r="O3" s="138" t="s">
        <v>249</v>
      </c>
      <c r="P3" s="138" t="s">
        <v>249</v>
      </c>
      <c r="Q3" s="137" t="s">
        <v>250</v>
      </c>
      <c r="R3" s="137" t="s">
        <v>251</v>
      </c>
      <c r="S3" s="137" t="s">
        <v>252</v>
      </c>
      <c r="T3" s="377"/>
      <c r="U3" s="381"/>
      <c r="V3" s="369"/>
      <c r="W3" s="369"/>
      <c r="X3" s="369"/>
      <c r="Y3" s="369"/>
      <c r="Z3" s="369"/>
      <c r="AA3" s="369"/>
      <c r="AB3" s="382"/>
      <c r="AC3" s="377"/>
      <c r="AD3" s="37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</row>
    <row r="4" spans="1:58" ht="57" customHeight="1">
      <c r="A4" s="21" t="s">
        <v>26</v>
      </c>
      <c r="B4" s="137" t="s">
        <v>253</v>
      </c>
      <c r="C4" s="137" t="s">
        <v>254</v>
      </c>
      <c r="D4" s="139" t="s">
        <v>242</v>
      </c>
      <c r="E4" s="387" t="s">
        <v>258</v>
      </c>
      <c r="F4" s="357"/>
      <c r="G4" s="358"/>
      <c r="H4" s="137" t="s">
        <v>259</v>
      </c>
      <c r="I4" s="137" t="s">
        <v>260</v>
      </c>
      <c r="J4" s="137" t="s">
        <v>261</v>
      </c>
      <c r="K4" s="140" t="s">
        <v>244</v>
      </c>
      <c r="L4" s="137" t="s">
        <v>262</v>
      </c>
      <c r="M4" s="137" t="s">
        <v>263</v>
      </c>
      <c r="N4" s="137" t="s">
        <v>248</v>
      </c>
      <c r="O4" s="137" t="s">
        <v>264</v>
      </c>
      <c r="P4" s="137" t="s">
        <v>265</v>
      </c>
      <c r="Q4" s="137" t="s">
        <v>250</v>
      </c>
      <c r="R4" s="137" t="s">
        <v>266</v>
      </c>
      <c r="S4" s="137" t="s">
        <v>252</v>
      </c>
      <c r="T4" s="377"/>
      <c r="U4" s="383"/>
      <c r="V4" s="384"/>
      <c r="W4" s="384"/>
      <c r="X4" s="384"/>
      <c r="Y4" s="384"/>
      <c r="Z4" s="384"/>
      <c r="AA4" s="384"/>
      <c r="AB4" s="385"/>
      <c r="AC4" s="377"/>
      <c r="AD4" s="377"/>
      <c r="AE4" s="141"/>
      <c r="AF4" s="141"/>
      <c r="AG4" s="141"/>
      <c r="AH4" s="141"/>
      <c r="AI4" s="141"/>
      <c r="AJ4" s="141"/>
      <c r="AK4" s="141"/>
      <c r="AL4" s="141"/>
      <c r="AM4" s="137"/>
      <c r="AN4" s="137"/>
      <c r="AO4" s="137"/>
      <c r="AP4" s="137"/>
      <c r="AQ4" s="137"/>
      <c r="AR4" s="137"/>
      <c r="AS4" s="137" t="s">
        <v>960</v>
      </c>
      <c r="AT4" s="137"/>
      <c r="AU4" s="137"/>
      <c r="AV4" s="395" t="s">
        <v>963</v>
      </c>
      <c r="AW4" s="396"/>
      <c r="AX4" s="396"/>
      <c r="AY4" s="395" t="s">
        <v>964</v>
      </c>
      <c r="AZ4" s="396"/>
      <c r="BA4" s="396"/>
      <c r="BB4" s="137"/>
      <c r="BC4" s="137"/>
      <c r="BD4" s="137"/>
    </row>
    <row r="5" spans="1:58" ht="57" customHeight="1">
      <c r="A5" s="21"/>
      <c r="B5" s="137"/>
      <c r="C5" s="137"/>
      <c r="D5" s="139" t="s">
        <v>242</v>
      </c>
      <c r="E5" s="137" t="s">
        <v>268</v>
      </c>
      <c r="F5" s="137" t="s">
        <v>269</v>
      </c>
      <c r="G5" s="137" t="s">
        <v>270</v>
      </c>
      <c r="H5" s="137" t="s">
        <v>259</v>
      </c>
      <c r="I5" s="137" t="s">
        <v>260</v>
      </c>
      <c r="J5" s="137" t="s">
        <v>261</v>
      </c>
      <c r="K5" s="140" t="s">
        <v>244</v>
      </c>
      <c r="L5" s="137" t="s">
        <v>262</v>
      </c>
      <c r="M5" s="137" t="s">
        <v>263</v>
      </c>
      <c r="N5" s="137" t="s">
        <v>248</v>
      </c>
      <c r="O5" s="137" t="s">
        <v>264</v>
      </c>
      <c r="P5" s="137" t="s">
        <v>265</v>
      </c>
      <c r="Q5" s="137" t="s">
        <v>250</v>
      </c>
      <c r="R5" s="137" t="s">
        <v>266</v>
      </c>
      <c r="S5" s="137" t="s">
        <v>252</v>
      </c>
      <c r="T5" s="363"/>
      <c r="U5" s="137" t="s">
        <v>247</v>
      </c>
      <c r="V5" s="137" t="s">
        <v>271</v>
      </c>
      <c r="W5" s="137" t="s">
        <v>272</v>
      </c>
      <c r="X5" s="137" t="s">
        <v>273</v>
      </c>
      <c r="Y5" s="142" t="s">
        <v>248</v>
      </c>
      <c r="Z5" s="137" t="s">
        <v>249</v>
      </c>
      <c r="AA5" s="137" t="s">
        <v>274</v>
      </c>
      <c r="AB5" s="137" t="s">
        <v>275</v>
      </c>
      <c r="AC5" s="363"/>
      <c r="AD5" s="363"/>
      <c r="AE5" s="143" t="s">
        <v>276</v>
      </c>
      <c r="AF5" s="141"/>
      <c r="AG5" s="2" t="s">
        <v>9</v>
      </c>
      <c r="AH5" s="144" t="s">
        <v>22</v>
      </c>
      <c r="AI5" s="145" t="s">
        <v>24</v>
      </c>
      <c r="AJ5" s="146" t="s">
        <v>31</v>
      </c>
      <c r="AK5" s="141"/>
      <c r="AL5" s="141"/>
      <c r="AM5" s="137"/>
      <c r="AN5" s="137"/>
      <c r="AO5" s="137"/>
      <c r="AP5" s="137"/>
      <c r="AQ5" s="137"/>
      <c r="AR5" s="137"/>
      <c r="AS5" s="31" t="s">
        <v>9</v>
      </c>
      <c r="AT5" s="31" t="s">
        <v>961</v>
      </c>
      <c r="AU5" s="31" t="s">
        <v>962</v>
      </c>
      <c r="AV5" s="144" t="s">
        <v>22</v>
      </c>
      <c r="AW5" s="145" t="s">
        <v>24</v>
      </c>
      <c r="AX5" s="146" t="s">
        <v>31</v>
      </c>
      <c r="AY5" s="144" t="s">
        <v>22</v>
      </c>
      <c r="AZ5" s="145" t="s">
        <v>24</v>
      </c>
      <c r="BA5" s="146" t="s">
        <v>31</v>
      </c>
      <c r="BB5" s="137"/>
      <c r="BC5" s="137"/>
      <c r="BD5" s="137"/>
      <c r="BF5" s="300" t="s">
        <v>179</v>
      </c>
    </row>
    <row r="6" spans="1:58" ht="14.25" customHeight="1">
      <c r="A6" s="21">
        <v>37621</v>
      </c>
      <c r="B6" s="31">
        <v>39417.599999999999</v>
      </c>
      <c r="C6" s="31">
        <v>1917.1</v>
      </c>
      <c r="D6" s="148">
        <f t="shared" ref="D6:D23" si="0">B6+C6</f>
        <v>41334.699999999997</v>
      </c>
      <c r="E6" s="31">
        <v>8030.2</v>
      </c>
      <c r="F6" s="31">
        <v>3843.4</v>
      </c>
      <c r="G6" s="31">
        <v>0</v>
      </c>
      <c r="H6" s="31">
        <v>1193.9000000000001</v>
      </c>
      <c r="I6" s="31">
        <v>13164.6</v>
      </c>
      <c r="J6" s="31">
        <v>12035.5</v>
      </c>
      <c r="K6" s="148">
        <f t="shared" ref="K6:K22" si="1">I6+J6</f>
        <v>25200.1</v>
      </c>
      <c r="L6" s="31">
        <v>1.9</v>
      </c>
      <c r="M6" s="31">
        <v>1479.9</v>
      </c>
      <c r="N6" s="31">
        <v>7317.3</v>
      </c>
      <c r="O6" s="31">
        <v>579.79999999999995</v>
      </c>
      <c r="P6" s="31">
        <v>2100.9</v>
      </c>
      <c r="Q6" s="31">
        <v>0</v>
      </c>
      <c r="R6" s="31">
        <v>9044.6</v>
      </c>
      <c r="S6" s="31">
        <v>0</v>
      </c>
      <c r="T6" s="149">
        <f t="shared" ref="T6:T24" si="2">SUM(K6:S6,D6:H6)</f>
        <v>100126.7</v>
      </c>
      <c r="U6" s="31">
        <v>5268.2</v>
      </c>
      <c r="V6" s="31">
        <v>25388.3</v>
      </c>
      <c r="W6" s="31">
        <v>11745.8</v>
      </c>
      <c r="X6" s="31">
        <v>16633</v>
      </c>
      <c r="Y6" s="31">
        <v>2142.5</v>
      </c>
      <c r="Z6" s="31">
        <v>3498.1</v>
      </c>
      <c r="AA6" s="31">
        <v>37779.4</v>
      </c>
      <c r="AB6" s="31">
        <v>4615.5</v>
      </c>
      <c r="AC6" s="150">
        <f t="shared" ref="AC6:AC24" si="3">SUM(U6:AB6)</f>
        <v>107070.8</v>
      </c>
      <c r="AD6" s="151">
        <f t="shared" ref="AD6:AD24" si="4">T6-AC6</f>
        <v>-6944.1000000000058</v>
      </c>
      <c r="AE6" s="152">
        <f t="shared" ref="AE6:AE24" si="5">AD6/(C98+D98)</f>
        <v>-3.2897096359012952E-2</v>
      </c>
      <c r="AF6" s="31"/>
      <c r="AG6" s="21">
        <v>37621</v>
      </c>
      <c r="AH6" s="25">
        <f t="shared" ref="AH6:AH24" si="6">AE6</f>
        <v>-3.2897096359012952E-2</v>
      </c>
      <c r="AI6" s="25">
        <f t="shared" ref="AI6:AI24" si="7">AE32</f>
        <v>-3.2897096359012952E-2</v>
      </c>
      <c r="AJ6" s="25">
        <f t="shared" ref="AJ6:AJ24" si="8">AE58</f>
        <v>-3.2897096359012952E-2</v>
      </c>
      <c r="AK6" s="31"/>
      <c r="AL6" s="31"/>
      <c r="AM6" s="31"/>
      <c r="AN6" s="31"/>
      <c r="AO6" s="31"/>
      <c r="AP6" s="31"/>
      <c r="AQ6" s="31"/>
      <c r="AR6" s="31"/>
      <c r="AS6" s="21">
        <v>35064</v>
      </c>
      <c r="AT6" s="298">
        <v>16428.368755</v>
      </c>
      <c r="AU6" s="298">
        <v>10014.469179999998</v>
      </c>
      <c r="AV6" s="298">
        <v>26442.837935</v>
      </c>
      <c r="AW6" s="298">
        <v>26442.837935</v>
      </c>
      <c r="AX6" s="298">
        <v>26442.837935</v>
      </c>
      <c r="AY6" s="302">
        <f>AV6/$BF6</f>
        <v>0.22550365846732862</v>
      </c>
      <c r="AZ6" s="302">
        <f t="shared" ref="AZ6:BA21" si="9">AW6/$BF6</f>
        <v>0.22550365846732862</v>
      </c>
      <c r="BA6" s="302">
        <f t="shared" si="9"/>
        <v>0.22550365846732862</v>
      </c>
      <c r="BB6" s="31"/>
      <c r="BC6" s="31"/>
      <c r="BD6" s="31"/>
      <c r="BE6" t="s">
        <v>36</v>
      </c>
      <c r="BF6" s="299">
        <v>117261.23697825101</v>
      </c>
    </row>
    <row r="7" spans="1:58" ht="14.25" customHeight="1">
      <c r="A7" s="21">
        <v>37986</v>
      </c>
      <c r="B7" s="31">
        <v>42404.4</v>
      </c>
      <c r="C7" s="31">
        <v>2074.4</v>
      </c>
      <c r="D7" s="148">
        <f t="shared" si="0"/>
        <v>44478.8</v>
      </c>
      <c r="E7" s="31">
        <v>8440</v>
      </c>
      <c r="F7" s="31">
        <v>4491.8999999999996</v>
      </c>
      <c r="G7" s="31">
        <v>0</v>
      </c>
      <c r="H7" s="31">
        <v>1436.4</v>
      </c>
      <c r="I7" s="31">
        <v>14326.7</v>
      </c>
      <c r="J7" s="31">
        <v>13097.9</v>
      </c>
      <c r="K7" s="148">
        <f t="shared" si="1"/>
        <v>27424.6</v>
      </c>
      <c r="L7" s="31">
        <v>1.9</v>
      </c>
      <c r="M7" s="31">
        <v>1192.9000000000001</v>
      </c>
      <c r="N7" s="31">
        <v>6028.5</v>
      </c>
      <c r="O7" s="31">
        <v>752.1</v>
      </c>
      <c r="P7" s="31">
        <v>2293.4</v>
      </c>
      <c r="Q7" s="31">
        <v>0</v>
      </c>
      <c r="R7" s="31">
        <v>9338.4</v>
      </c>
      <c r="S7" s="31">
        <v>0</v>
      </c>
      <c r="T7" s="149">
        <f t="shared" si="2"/>
        <v>105878.9</v>
      </c>
      <c r="U7" s="31">
        <v>4953.8</v>
      </c>
      <c r="V7" s="31">
        <v>27265.8</v>
      </c>
      <c r="W7" s="31">
        <v>17123.3</v>
      </c>
      <c r="X7" s="31">
        <v>16853.2</v>
      </c>
      <c r="Y7" s="31">
        <v>6018.2</v>
      </c>
      <c r="Z7" s="31">
        <v>3901</v>
      </c>
      <c r="AA7" s="31">
        <v>35345.199999999997</v>
      </c>
      <c r="AB7" s="31">
        <v>4932.3999999999996</v>
      </c>
      <c r="AC7" s="150">
        <f t="shared" si="3"/>
        <v>116392.89999999998</v>
      </c>
      <c r="AD7" s="151">
        <f t="shared" si="4"/>
        <v>-10513.999999999985</v>
      </c>
      <c r="AE7" s="152">
        <f t="shared" si="5"/>
        <v>-4.5207287035546509E-2</v>
      </c>
      <c r="AF7" s="31"/>
      <c r="AG7" s="21">
        <v>37986</v>
      </c>
      <c r="AH7" s="25">
        <f t="shared" si="6"/>
        <v>-4.5207287035546509E-2</v>
      </c>
      <c r="AI7" s="25">
        <f t="shared" si="7"/>
        <v>-4.5207287035546509E-2</v>
      </c>
      <c r="AJ7" s="25">
        <f t="shared" si="8"/>
        <v>-4.5207287035546509E-2</v>
      </c>
      <c r="AK7" s="31"/>
      <c r="AL7" s="31"/>
      <c r="AM7" s="31"/>
      <c r="AN7" s="31"/>
      <c r="AO7" s="31"/>
      <c r="AP7" s="31"/>
      <c r="AQ7" s="31"/>
      <c r="AR7" s="31"/>
      <c r="AS7" s="21">
        <v>35430</v>
      </c>
      <c r="AT7" s="298">
        <v>16890.336136000002</v>
      </c>
      <c r="AU7" s="298">
        <v>15882.709031200002</v>
      </c>
      <c r="AV7" s="298">
        <v>32773.045167199998</v>
      </c>
      <c r="AW7" s="298">
        <v>32773.045167199998</v>
      </c>
      <c r="AX7" s="298">
        <v>32773.045167199998</v>
      </c>
      <c r="AY7" s="302">
        <f t="shared" ref="AY7:AY29" si="10">AV7/$BF7</f>
        <v>0.25435742310636567</v>
      </c>
      <c r="AZ7" s="302">
        <f t="shared" si="9"/>
        <v>0.25435742310636567</v>
      </c>
      <c r="BA7" s="302">
        <f t="shared" si="9"/>
        <v>0.25435742310636567</v>
      </c>
      <c r="BB7" s="31"/>
      <c r="BC7" s="31"/>
      <c r="BD7" s="31"/>
      <c r="BE7" t="s">
        <v>39</v>
      </c>
      <c r="BF7" s="299">
        <v>128846.42707476699</v>
      </c>
    </row>
    <row r="8" spans="1:58" ht="14.25" customHeight="1">
      <c r="A8" s="21">
        <v>38352</v>
      </c>
      <c r="B8" s="31">
        <v>44086.8</v>
      </c>
      <c r="C8" s="31">
        <v>2352.9</v>
      </c>
      <c r="D8" s="148">
        <f t="shared" si="0"/>
        <v>46439.700000000004</v>
      </c>
      <c r="E8" s="31">
        <v>9258.6</v>
      </c>
      <c r="F8" s="31">
        <v>4587.7</v>
      </c>
      <c r="G8" s="31">
        <v>0</v>
      </c>
      <c r="H8" s="31">
        <v>1554.4</v>
      </c>
      <c r="I8" s="31">
        <v>15737.7</v>
      </c>
      <c r="J8" s="31">
        <v>13739.9</v>
      </c>
      <c r="K8" s="148">
        <f t="shared" si="1"/>
        <v>29477.599999999999</v>
      </c>
      <c r="L8" s="31">
        <v>2.2999999999999998</v>
      </c>
      <c r="M8" s="31">
        <v>54.5</v>
      </c>
      <c r="N8" s="31">
        <v>5713</v>
      </c>
      <c r="O8" s="31">
        <v>903.2</v>
      </c>
      <c r="P8" s="31">
        <v>2382.5</v>
      </c>
      <c r="Q8" s="31">
        <v>0</v>
      </c>
      <c r="R8" s="31">
        <v>9731.1</v>
      </c>
      <c r="S8" s="31">
        <v>0</v>
      </c>
      <c r="T8" s="149">
        <f t="shared" si="2"/>
        <v>110104.59999999999</v>
      </c>
      <c r="U8" s="31">
        <v>6349.2</v>
      </c>
      <c r="V8" s="31">
        <v>29456.7</v>
      </c>
      <c r="W8" s="31">
        <v>16498</v>
      </c>
      <c r="X8" s="31">
        <v>17203.599999999999</v>
      </c>
      <c r="Y8" s="31">
        <v>3345.7</v>
      </c>
      <c r="Z8" s="31">
        <v>4462.2</v>
      </c>
      <c r="AA8" s="31">
        <v>39424.1</v>
      </c>
      <c r="AB8" s="31">
        <v>5830.7</v>
      </c>
      <c r="AC8" s="150">
        <f t="shared" si="3"/>
        <v>122570.2</v>
      </c>
      <c r="AD8" s="151">
        <f t="shared" si="4"/>
        <v>-12465.600000000006</v>
      </c>
      <c r="AE8" s="152">
        <f t="shared" si="5"/>
        <v>-4.9665070740932155E-2</v>
      </c>
      <c r="AF8" s="31"/>
      <c r="AG8" s="21">
        <v>38352</v>
      </c>
      <c r="AH8" s="25">
        <f t="shared" si="6"/>
        <v>-4.9665070740932155E-2</v>
      </c>
      <c r="AI8" s="25">
        <f t="shared" si="7"/>
        <v>-4.9665070740932155E-2</v>
      </c>
      <c r="AJ8" s="25">
        <f t="shared" si="8"/>
        <v>-4.9665070740932155E-2</v>
      </c>
      <c r="AK8" s="31"/>
      <c r="AL8" s="31"/>
      <c r="AM8" s="31"/>
      <c r="AN8" s="31"/>
      <c r="AO8" s="31"/>
      <c r="AP8" s="31"/>
      <c r="AQ8" s="31"/>
      <c r="AR8" s="31"/>
      <c r="AS8" s="21">
        <v>35795</v>
      </c>
      <c r="AT8" s="298">
        <v>15717.492973332062</v>
      </c>
      <c r="AU8" s="298">
        <v>20786.699024810812</v>
      </c>
      <c r="AV8" s="298">
        <v>36504.191998142873</v>
      </c>
      <c r="AW8" s="298">
        <v>36504.191998142873</v>
      </c>
      <c r="AX8" s="298">
        <v>36504.191998142873</v>
      </c>
      <c r="AY8" s="302">
        <f t="shared" si="10"/>
        <v>0.24839561082511047</v>
      </c>
      <c r="AZ8" s="302">
        <f t="shared" si="9"/>
        <v>0.24839561082511047</v>
      </c>
      <c r="BA8" s="302">
        <f t="shared" si="9"/>
        <v>0.24839561082511047</v>
      </c>
      <c r="BB8" s="31"/>
      <c r="BC8" s="31"/>
      <c r="BD8" s="31"/>
      <c r="BE8" t="s">
        <v>40</v>
      </c>
      <c r="BF8" s="299">
        <v>146959.89142837399</v>
      </c>
    </row>
    <row r="9" spans="1:58" ht="14.25" customHeight="1">
      <c r="A9" s="21">
        <v>38717</v>
      </c>
      <c r="B9" s="31">
        <v>47049.1</v>
      </c>
      <c r="C9" s="31">
        <v>2362.3000000000002</v>
      </c>
      <c r="D9" s="148">
        <f t="shared" si="0"/>
        <v>49411.4</v>
      </c>
      <c r="E9" s="31">
        <v>9371.2999999999993</v>
      </c>
      <c r="F9" s="31">
        <v>6168.9</v>
      </c>
      <c r="G9" s="31">
        <v>0</v>
      </c>
      <c r="H9" s="31">
        <v>1668.8</v>
      </c>
      <c r="I9" s="31">
        <v>16695.5</v>
      </c>
      <c r="J9" s="31">
        <v>14605.8</v>
      </c>
      <c r="K9" s="148">
        <f t="shared" si="1"/>
        <v>31301.3</v>
      </c>
      <c r="L9" s="31">
        <v>2.4</v>
      </c>
      <c r="M9" s="31">
        <v>74.5</v>
      </c>
      <c r="N9" s="31">
        <v>5282.1</v>
      </c>
      <c r="O9" s="31">
        <v>1021.4</v>
      </c>
      <c r="P9" s="31">
        <v>2478.5</v>
      </c>
      <c r="Q9" s="31">
        <v>0</v>
      </c>
      <c r="R9" s="31">
        <v>10022.799999999999</v>
      </c>
      <c r="S9" s="31">
        <v>0</v>
      </c>
      <c r="T9" s="149">
        <f t="shared" si="2"/>
        <v>116803.4</v>
      </c>
      <c r="U9" s="31">
        <v>4883.1000000000004</v>
      </c>
      <c r="V9" s="31">
        <v>30427.8</v>
      </c>
      <c r="W9" s="31">
        <v>15504.7</v>
      </c>
      <c r="X9" s="31">
        <v>19086.5</v>
      </c>
      <c r="Y9" s="31">
        <v>6185.2</v>
      </c>
      <c r="Z9" s="31">
        <v>4831.2</v>
      </c>
      <c r="AA9" s="31">
        <v>39514.300000000003</v>
      </c>
      <c r="AB9" s="31">
        <v>6267.9</v>
      </c>
      <c r="AC9" s="150">
        <f t="shared" si="3"/>
        <v>126700.7</v>
      </c>
      <c r="AD9" s="151">
        <f t="shared" si="4"/>
        <v>-9897.3000000000029</v>
      </c>
      <c r="AE9" s="152">
        <f t="shared" si="5"/>
        <v>-3.6654660509326496E-2</v>
      </c>
      <c r="AF9" s="31"/>
      <c r="AG9" s="21">
        <v>38717</v>
      </c>
      <c r="AH9" s="25">
        <f t="shared" si="6"/>
        <v>-3.6654660509326496E-2</v>
      </c>
      <c r="AI9" s="25">
        <f t="shared" si="7"/>
        <v>-3.6654660509326496E-2</v>
      </c>
      <c r="AJ9" s="25">
        <f t="shared" si="8"/>
        <v>-3.6654660509326496E-2</v>
      </c>
      <c r="AK9" s="31"/>
      <c r="AL9" s="31"/>
      <c r="AM9" s="31"/>
      <c r="AN9" s="31"/>
      <c r="AO9" s="31"/>
      <c r="AP9" s="31"/>
      <c r="AQ9" s="31"/>
      <c r="AR9" s="31"/>
      <c r="AS9" s="21">
        <v>36160</v>
      </c>
      <c r="AT9" s="298">
        <v>15611.507523887809</v>
      </c>
      <c r="AU9" s="298">
        <v>21415.570356318429</v>
      </c>
      <c r="AV9" s="298">
        <v>37027.077880206241</v>
      </c>
      <c r="AW9" s="298">
        <v>37027.077880206241</v>
      </c>
      <c r="AX9" s="298">
        <v>37027.077880206241</v>
      </c>
      <c r="AY9" s="302">
        <f t="shared" si="10"/>
        <v>0.22848540837310355</v>
      </c>
      <c r="AZ9" s="302">
        <f t="shared" si="9"/>
        <v>0.22848540837310355</v>
      </c>
      <c r="BA9" s="302">
        <f t="shared" si="9"/>
        <v>0.22848540837310355</v>
      </c>
      <c r="BB9" s="31"/>
      <c r="BC9" s="31"/>
      <c r="BD9" s="31"/>
      <c r="BE9" t="s">
        <v>41</v>
      </c>
      <c r="BF9" s="299">
        <v>162054.45303423118</v>
      </c>
    </row>
    <row r="10" spans="1:58" ht="14.25" customHeight="1">
      <c r="A10" s="21">
        <v>39082</v>
      </c>
      <c r="B10" s="31">
        <v>51273.7</v>
      </c>
      <c r="C10" s="31">
        <v>2576.6</v>
      </c>
      <c r="D10" s="148">
        <f t="shared" si="0"/>
        <v>53850.299999999996</v>
      </c>
      <c r="E10" s="31">
        <v>10606.9</v>
      </c>
      <c r="F10" s="31">
        <v>8304.6</v>
      </c>
      <c r="G10" s="31">
        <v>0</v>
      </c>
      <c r="H10" s="31">
        <v>1757.7</v>
      </c>
      <c r="I10" s="31">
        <v>18051.400000000001</v>
      </c>
      <c r="J10" s="31">
        <v>15825.8</v>
      </c>
      <c r="K10" s="148">
        <f t="shared" si="1"/>
        <v>33877.199999999997</v>
      </c>
      <c r="L10" s="31">
        <v>2</v>
      </c>
      <c r="M10" s="31">
        <v>166.4</v>
      </c>
      <c r="N10" s="155">
        <v>5105.3</v>
      </c>
      <c r="O10" s="31">
        <v>1132.2</v>
      </c>
      <c r="P10" s="31">
        <v>2573.6999999999998</v>
      </c>
      <c r="Q10" s="31">
        <v>0</v>
      </c>
      <c r="R10" s="31">
        <v>10319.299999999999</v>
      </c>
      <c r="S10" s="31">
        <v>0</v>
      </c>
      <c r="T10" s="149">
        <f t="shared" si="2"/>
        <v>127695.59999999999</v>
      </c>
      <c r="U10" s="31">
        <v>4328.7</v>
      </c>
      <c r="V10" s="31">
        <v>32220.400000000001</v>
      </c>
      <c r="W10" s="31">
        <v>16903</v>
      </c>
      <c r="X10" s="31">
        <v>21166.1</v>
      </c>
      <c r="Y10" s="31">
        <v>5583.2</v>
      </c>
      <c r="Z10" s="31">
        <v>4866.5</v>
      </c>
      <c r="AA10" s="31">
        <v>45143.8</v>
      </c>
      <c r="AB10" s="31">
        <v>6706.9</v>
      </c>
      <c r="AC10" s="150">
        <f t="shared" si="3"/>
        <v>136918.6</v>
      </c>
      <c r="AD10" s="151">
        <f t="shared" si="4"/>
        <v>-9223.0000000000146</v>
      </c>
      <c r="AE10" s="152">
        <f t="shared" si="5"/>
        <v>-3.13233528765521E-2</v>
      </c>
      <c r="AF10" s="31"/>
      <c r="AG10" s="21">
        <v>39082</v>
      </c>
      <c r="AH10" s="25">
        <f t="shared" si="6"/>
        <v>-3.13233528765521E-2</v>
      </c>
      <c r="AI10" s="25">
        <f t="shared" si="7"/>
        <v>-3.13233528765521E-2</v>
      </c>
      <c r="AJ10" s="25">
        <f t="shared" si="8"/>
        <v>-3.13233528765521E-2</v>
      </c>
      <c r="AK10" s="31"/>
      <c r="AL10" s="31"/>
      <c r="AM10" s="31"/>
      <c r="AN10" s="31"/>
      <c r="AO10" s="31"/>
      <c r="AP10" s="31"/>
      <c r="AQ10" s="31"/>
      <c r="AR10" s="31"/>
      <c r="AS10" s="21">
        <v>36525</v>
      </c>
      <c r="AT10" s="298">
        <v>18007.9190925</v>
      </c>
      <c r="AU10" s="298">
        <v>30466.443581885149</v>
      </c>
      <c r="AV10" s="298">
        <v>48474.362674385149</v>
      </c>
      <c r="AW10" s="298">
        <v>48474.362674385149</v>
      </c>
      <c r="AX10" s="298">
        <v>48474.362674385149</v>
      </c>
      <c r="AY10" s="302">
        <f t="shared" si="10"/>
        <v>0.29128214825866355</v>
      </c>
      <c r="AZ10" s="302">
        <f t="shared" si="9"/>
        <v>0.29128214825866355</v>
      </c>
      <c r="BA10" s="302">
        <f t="shared" si="9"/>
        <v>0.29128214825866355</v>
      </c>
      <c r="BB10" s="31"/>
      <c r="BC10" s="31"/>
      <c r="BD10" s="31"/>
      <c r="BE10" t="s">
        <v>42</v>
      </c>
      <c r="BF10" s="299">
        <v>166417.2108183543</v>
      </c>
    </row>
    <row r="11" spans="1:58" ht="14.25" customHeight="1">
      <c r="A11" s="21">
        <v>39447</v>
      </c>
      <c r="B11" s="31">
        <v>55095.9</v>
      </c>
      <c r="C11" s="31">
        <v>2957.1</v>
      </c>
      <c r="D11" s="148">
        <f t="shared" si="0"/>
        <v>58053</v>
      </c>
      <c r="E11" s="31">
        <v>12547.5</v>
      </c>
      <c r="F11" s="31">
        <v>9862.1</v>
      </c>
      <c r="G11" s="31">
        <v>0</v>
      </c>
      <c r="H11" s="31">
        <v>1856.1</v>
      </c>
      <c r="I11" s="31">
        <v>19845.5</v>
      </c>
      <c r="J11" s="31">
        <v>17358</v>
      </c>
      <c r="K11" s="148">
        <f t="shared" si="1"/>
        <v>37203.5</v>
      </c>
      <c r="L11" s="31">
        <v>2.2000000000000002</v>
      </c>
      <c r="M11" s="31">
        <v>240.5</v>
      </c>
      <c r="N11" s="31">
        <v>5715.2</v>
      </c>
      <c r="O11" s="31">
        <v>1289.7</v>
      </c>
      <c r="P11" s="31">
        <v>2617.5</v>
      </c>
      <c r="Q11" s="31">
        <v>0</v>
      </c>
      <c r="R11" s="31">
        <v>10514.9</v>
      </c>
      <c r="S11" s="31">
        <v>0</v>
      </c>
      <c r="T11" s="149">
        <f t="shared" si="2"/>
        <v>139902.20000000001</v>
      </c>
      <c r="U11" s="31">
        <v>4216.7</v>
      </c>
      <c r="V11" s="31">
        <v>36599.599999999999</v>
      </c>
      <c r="W11" s="31">
        <v>20009.7</v>
      </c>
      <c r="X11" s="31">
        <v>23151.5</v>
      </c>
      <c r="Y11" s="31">
        <v>2827.9</v>
      </c>
      <c r="Z11" s="31">
        <v>5368.4</v>
      </c>
      <c r="AA11" s="31">
        <v>47138.7</v>
      </c>
      <c r="AB11" s="31">
        <v>7786.2</v>
      </c>
      <c r="AC11" s="150">
        <f t="shared" si="3"/>
        <v>147098.70000000001</v>
      </c>
      <c r="AD11" s="151">
        <f t="shared" si="4"/>
        <v>-7196.5</v>
      </c>
      <c r="AE11" s="152">
        <f t="shared" si="5"/>
        <v>-2.2294595711018328E-2</v>
      </c>
      <c r="AF11" s="31"/>
      <c r="AG11" s="21">
        <v>39447</v>
      </c>
      <c r="AH11" s="25">
        <f t="shared" si="6"/>
        <v>-2.2294595711018328E-2</v>
      </c>
      <c r="AI11" s="25">
        <f t="shared" si="7"/>
        <v>-2.2294595711018328E-2</v>
      </c>
      <c r="AJ11" s="25">
        <f t="shared" si="8"/>
        <v>-2.2294595711018328E-2</v>
      </c>
      <c r="AK11" s="31"/>
      <c r="AL11" s="31"/>
      <c r="AM11" s="31"/>
      <c r="AN11" s="31"/>
      <c r="AO11" s="31"/>
      <c r="AP11" s="31"/>
      <c r="AQ11" s="31"/>
      <c r="AR11" s="31"/>
      <c r="AS11" s="21">
        <v>36891</v>
      </c>
      <c r="AT11" s="298">
        <v>23030.898977875997</v>
      </c>
      <c r="AU11" s="298">
        <v>40952.163017596285</v>
      </c>
      <c r="AV11" s="298">
        <v>63983.061995472293</v>
      </c>
      <c r="AW11" s="298">
        <v>63983.061995472293</v>
      </c>
      <c r="AX11" s="298">
        <v>63983.061995472293</v>
      </c>
      <c r="AY11" s="302">
        <f t="shared" si="10"/>
        <v>0.356708347467316</v>
      </c>
      <c r="AZ11" s="302">
        <f t="shared" si="9"/>
        <v>0.356708347467316</v>
      </c>
      <c r="BA11" s="302">
        <f t="shared" si="9"/>
        <v>0.356708347467316</v>
      </c>
      <c r="BB11" s="31"/>
      <c r="BC11" s="31"/>
      <c r="BD11" s="31"/>
      <c r="BE11" t="s">
        <v>43</v>
      </c>
      <c r="BF11" s="299">
        <v>179370.80096320104</v>
      </c>
    </row>
    <row r="12" spans="1:58" ht="14.25" customHeight="1">
      <c r="A12" s="21">
        <v>39813</v>
      </c>
      <c r="B12" s="31">
        <v>58485.1</v>
      </c>
      <c r="C12" s="31">
        <v>3303.6</v>
      </c>
      <c r="D12" s="148">
        <f t="shared" si="0"/>
        <v>61788.7</v>
      </c>
      <c r="E12" s="31">
        <v>13360.3</v>
      </c>
      <c r="F12" s="31">
        <v>10062.200000000001</v>
      </c>
      <c r="G12" s="31">
        <v>0</v>
      </c>
      <c r="H12" s="31">
        <v>1973.5</v>
      </c>
      <c r="I12" s="31">
        <v>21758.1</v>
      </c>
      <c r="J12" s="31">
        <v>18945.400000000001</v>
      </c>
      <c r="K12" s="148">
        <f t="shared" si="1"/>
        <v>40703.5</v>
      </c>
      <c r="L12" s="31">
        <v>2.6</v>
      </c>
      <c r="M12" s="31">
        <v>255.4</v>
      </c>
      <c r="N12" s="31">
        <v>4744.2</v>
      </c>
      <c r="O12" s="31">
        <v>1195.8</v>
      </c>
      <c r="P12" s="31">
        <v>2759.9</v>
      </c>
      <c r="Q12" s="31">
        <v>0</v>
      </c>
      <c r="R12" s="31">
        <v>12328.6</v>
      </c>
      <c r="S12" s="31">
        <v>0</v>
      </c>
      <c r="T12" s="149">
        <f t="shared" si="2"/>
        <v>149174.70000000001</v>
      </c>
      <c r="U12" s="31">
        <v>5119.7</v>
      </c>
      <c r="V12" s="31">
        <v>38903</v>
      </c>
      <c r="W12" s="31">
        <v>21416.400000000001</v>
      </c>
      <c r="X12" s="31">
        <v>25277.8</v>
      </c>
      <c r="Y12" s="31">
        <v>4881.8</v>
      </c>
      <c r="Z12" s="31">
        <v>6206.6</v>
      </c>
      <c r="AA12" s="31">
        <v>48699.3</v>
      </c>
      <c r="AB12" s="31">
        <v>8461.1</v>
      </c>
      <c r="AC12" s="150">
        <f t="shared" si="3"/>
        <v>158965.70000000001</v>
      </c>
      <c r="AD12" s="151">
        <f t="shared" si="4"/>
        <v>-9791</v>
      </c>
      <c r="AE12" s="152">
        <f t="shared" si="5"/>
        <v>-2.8237694661230842E-2</v>
      </c>
      <c r="AF12" s="31"/>
      <c r="AG12" s="21">
        <v>39813</v>
      </c>
      <c r="AH12" s="25">
        <f t="shared" si="6"/>
        <v>-2.8237694661230842E-2</v>
      </c>
      <c r="AI12" s="25">
        <f t="shared" si="7"/>
        <v>-2.8237694661230842E-2</v>
      </c>
      <c r="AJ12" s="25">
        <f t="shared" si="8"/>
        <v>-2.8237694661230842E-2</v>
      </c>
      <c r="AK12" s="31"/>
      <c r="AL12" s="31"/>
      <c r="AM12" s="31"/>
      <c r="AN12" s="31"/>
      <c r="AO12" s="31"/>
      <c r="AP12" s="31"/>
      <c r="AQ12" s="31"/>
      <c r="AR12" s="31"/>
      <c r="AS12" s="21">
        <v>37256</v>
      </c>
      <c r="AT12" s="298">
        <v>26737.151271029998</v>
      </c>
      <c r="AU12" s="298">
        <v>44246.707036028536</v>
      </c>
      <c r="AV12" s="298">
        <v>70983.85830705853</v>
      </c>
      <c r="AW12" s="298">
        <v>70983.85830705853</v>
      </c>
      <c r="AX12" s="298">
        <v>70983.85830705853</v>
      </c>
      <c r="AY12" s="302">
        <f t="shared" si="10"/>
        <v>0.36711815132956066</v>
      </c>
      <c r="AZ12" s="302">
        <f t="shared" si="9"/>
        <v>0.36711815132956066</v>
      </c>
      <c r="BA12" s="302">
        <f t="shared" si="9"/>
        <v>0.36711815132956066</v>
      </c>
      <c r="BB12" s="31"/>
      <c r="BC12" s="31"/>
      <c r="BD12" s="31"/>
      <c r="BE12" t="s">
        <v>44</v>
      </c>
      <c r="BF12" s="299">
        <v>193354.25952103516</v>
      </c>
    </row>
    <row r="13" spans="1:58" ht="14.25" customHeight="1">
      <c r="A13" s="21">
        <v>40178</v>
      </c>
      <c r="B13" s="31">
        <v>52842.3</v>
      </c>
      <c r="C13" s="31">
        <v>3311.1</v>
      </c>
      <c r="D13" s="148">
        <f t="shared" si="0"/>
        <v>56153.4</v>
      </c>
      <c r="E13" s="31">
        <v>12804</v>
      </c>
      <c r="F13" s="31">
        <v>8459</v>
      </c>
      <c r="G13" s="31">
        <v>1057.4000000000001</v>
      </c>
      <c r="H13" s="31">
        <v>2021.7</v>
      </c>
      <c r="I13" s="31">
        <v>21374</v>
      </c>
      <c r="J13" s="31">
        <v>18620.8</v>
      </c>
      <c r="K13" s="148">
        <f t="shared" si="1"/>
        <v>39994.800000000003</v>
      </c>
      <c r="L13" s="31">
        <v>4.2</v>
      </c>
      <c r="M13" s="31">
        <v>434.1</v>
      </c>
      <c r="N13" s="31">
        <v>4799.7</v>
      </c>
      <c r="O13" s="31">
        <v>1292.5</v>
      </c>
      <c r="P13" s="31">
        <v>2629.4</v>
      </c>
      <c r="Q13" s="31">
        <v>0</v>
      </c>
      <c r="R13" s="31">
        <v>12013.7</v>
      </c>
      <c r="S13" s="31">
        <v>0</v>
      </c>
      <c r="T13" s="149">
        <f t="shared" si="2"/>
        <v>141663.9</v>
      </c>
      <c r="U13" s="31">
        <v>4696.8</v>
      </c>
      <c r="V13" s="31">
        <v>40880.800000000003</v>
      </c>
      <c r="W13" s="31">
        <v>20005.3</v>
      </c>
      <c r="X13" s="31">
        <v>24408.5</v>
      </c>
      <c r="Y13" s="31">
        <v>3659.6</v>
      </c>
      <c r="Z13" s="31">
        <v>7341.9</v>
      </c>
      <c r="AA13" s="31">
        <v>52616</v>
      </c>
      <c r="AB13" s="31">
        <v>8060.6</v>
      </c>
      <c r="AC13" s="150">
        <f t="shared" si="3"/>
        <v>161669.50000000003</v>
      </c>
      <c r="AD13" s="151">
        <f t="shared" si="4"/>
        <v>-20005.600000000035</v>
      </c>
      <c r="AE13" s="152">
        <f t="shared" si="5"/>
        <v>-6.0481819118848534E-2</v>
      </c>
      <c r="AF13" s="31"/>
      <c r="AG13" s="21">
        <v>40178</v>
      </c>
      <c r="AH13" s="25">
        <f t="shared" si="6"/>
        <v>-6.0481819118848534E-2</v>
      </c>
      <c r="AI13" s="25">
        <f t="shared" si="7"/>
        <v>-6.0481819118848534E-2</v>
      </c>
      <c r="AJ13" s="25">
        <f t="shared" si="8"/>
        <v>-6.0481819118848534E-2</v>
      </c>
      <c r="AK13" s="31"/>
      <c r="AL13" s="31"/>
      <c r="AM13" s="31"/>
      <c r="AN13" s="31"/>
      <c r="AO13" s="31"/>
      <c r="AP13" s="31"/>
      <c r="AQ13" s="31"/>
      <c r="AR13" s="31"/>
      <c r="AS13" s="21">
        <v>37621</v>
      </c>
      <c r="AT13" s="298">
        <v>33364.41652517578</v>
      </c>
      <c r="AU13" s="298">
        <v>44311.001079652284</v>
      </c>
      <c r="AV13" s="298">
        <v>77675.417604828064</v>
      </c>
      <c r="AW13" s="298">
        <v>77675.417604828064</v>
      </c>
      <c r="AX13" s="298">
        <v>77675.417604828064</v>
      </c>
      <c r="AY13" s="302">
        <f t="shared" si="10"/>
        <v>0.36798117134690034</v>
      </c>
      <c r="AZ13" s="302">
        <f t="shared" si="9"/>
        <v>0.36798117134690034</v>
      </c>
      <c r="BA13" s="302">
        <f t="shared" si="9"/>
        <v>0.36798117134690034</v>
      </c>
      <c r="BB13" s="31"/>
      <c r="BC13" s="31"/>
      <c r="BD13" s="31"/>
      <c r="BE13" t="s">
        <v>45</v>
      </c>
      <c r="BF13" s="299">
        <v>211085.30450217656</v>
      </c>
    </row>
    <row r="14" spans="1:58" ht="14.25" customHeight="1">
      <c r="A14" s="21">
        <v>40543</v>
      </c>
      <c r="B14" s="31">
        <v>54344.800000000003</v>
      </c>
      <c r="C14" s="31">
        <v>3476.4</v>
      </c>
      <c r="D14" s="148">
        <f t="shared" si="0"/>
        <v>57821.200000000004</v>
      </c>
      <c r="E14" s="31">
        <v>11373.4</v>
      </c>
      <c r="F14" s="31">
        <v>6346.7</v>
      </c>
      <c r="G14" s="31">
        <v>1902.5</v>
      </c>
      <c r="H14" s="31">
        <v>2083</v>
      </c>
      <c r="I14" s="31">
        <v>20783.599999999999</v>
      </c>
      <c r="J14" s="31">
        <v>17928.8</v>
      </c>
      <c r="K14" s="148">
        <f t="shared" si="1"/>
        <v>38712.399999999994</v>
      </c>
      <c r="L14" s="31">
        <v>3.2</v>
      </c>
      <c r="M14" s="31">
        <v>925.3</v>
      </c>
      <c r="N14" s="31">
        <v>3434.7</v>
      </c>
      <c r="O14" s="31">
        <v>1210.4000000000001</v>
      </c>
      <c r="P14" s="31">
        <v>2357.5</v>
      </c>
      <c r="Q14" s="31">
        <v>0</v>
      </c>
      <c r="R14" s="31">
        <v>12196.3</v>
      </c>
      <c r="S14" s="31">
        <v>0</v>
      </c>
      <c r="T14" s="149">
        <f t="shared" si="2"/>
        <v>138366.6</v>
      </c>
      <c r="U14" s="31">
        <v>8518.7999999999993</v>
      </c>
      <c r="V14" s="31">
        <v>40110.1</v>
      </c>
      <c r="W14" s="31">
        <v>12790.6</v>
      </c>
      <c r="X14" s="31">
        <v>24987.5</v>
      </c>
      <c r="Y14" s="31">
        <v>5839.7</v>
      </c>
      <c r="Z14" s="31">
        <v>7860.2</v>
      </c>
      <c r="AA14" s="31">
        <v>52126.1</v>
      </c>
      <c r="AB14" s="31">
        <v>7393.6</v>
      </c>
      <c r="AC14" s="150">
        <f t="shared" si="3"/>
        <v>159626.6</v>
      </c>
      <c r="AD14" s="151">
        <f t="shared" si="4"/>
        <v>-21260</v>
      </c>
      <c r="AE14" s="152">
        <f t="shared" si="5"/>
        <v>-6.4654585855040192E-2</v>
      </c>
      <c r="AF14" s="31"/>
      <c r="AG14" s="21">
        <v>40543</v>
      </c>
      <c r="AH14" s="25">
        <f t="shared" si="6"/>
        <v>-6.4654585855040192E-2</v>
      </c>
      <c r="AI14" s="25">
        <f t="shared" si="7"/>
        <v>-6.4654585855040192E-2</v>
      </c>
      <c r="AJ14" s="25">
        <f t="shared" si="8"/>
        <v>-6.4654585855040192E-2</v>
      </c>
      <c r="AK14" s="31"/>
      <c r="AL14" s="31"/>
      <c r="AM14" s="31"/>
      <c r="AN14" s="31"/>
      <c r="AO14" s="31"/>
      <c r="AP14" s="31"/>
      <c r="AQ14" s="31"/>
      <c r="AR14" s="31"/>
      <c r="AS14" s="21">
        <v>37986</v>
      </c>
      <c r="AT14" s="298">
        <v>36761.64974116371</v>
      </c>
      <c r="AU14" s="298">
        <v>52032.910539743491</v>
      </c>
      <c r="AV14" s="298">
        <v>88794.560280907201</v>
      </c>
      <c r="AW14" s="298">
        <v>88794.560280907201</v>
      </c>
      <c r="AX14" s="298">
        <v>88794.560280907201</v>
      </c>
      <c r="AY14" s="302">
        <f t="shared" si="10"/>
        <v>0.38179168144341324</v>
      </c>
      <c r="AZ14" s="302">
        <f t="shared" si="9"/>
        <v>0.38179168144341324</v>
      </c>
      <c r="BA14" s="302">
        <f t="shared" si="9"/>
        <v>0.38179168144341324</v>
      </c>
      <c r="BB14" s="31"/>
      <c r="BC14" s="31"/>
      <c r="BD14" s="31"/>
      <c r="BE14" t="s">
        <v>46</v>
      </c>
      <c r="BF14" s="299">
        <v>232573.32361252027</v>
      </c>
    </row>
    <row r="15" spans="1:58" ht="14.25" customHeight="1">
      <c r="A15" s="21">
        <v>40908</v>
      </c>
      <c r="B15" s="31">
        <v>53773.9</v>
      </c>
      <c r="C15" s="31">
        <v>3532.5</v>
      </c>
      <c r="D15" s="148">
        <f t="shared" si="0"/>
        <v>57306.400000000001</v>
      </c>
      <c r="E15" s="31">
        <v>11484.7</v>
      </c>
      <c r="F15" s="31">
        <v>7740.8</v>
      </c>
      <c r="G15" s="31">
        <v>65.2</v>
      </c>
      <c r="H15" s="31">
        <v>2025.9</v>
      </c>
      <c r="I15" s="31">
        <v>20686.2</v>
      </c>
      <c r="J15" s="31">
        <v>17918.900000000001</v>
      </c>
      <c r="K15" s="148">
        <f t="shared" si="1"/>
        <v>38605.100000000006</v>
      </c>
      <c r="L15" s="31">
        <v>7.4</v>
      </c>
      <c r="M15" s="31">
        <v>1044</v>
      </c>
      <c r="N15" s="31">
        <v>2985.1</v>
      </c>
      <c r="O15" s="31">
        <v>1080.0999999999999</v>
      </c>
      <c r="P15" s="31">
        <v>2498.6999999999998</v>
      </c>
      <c r="Q15" s="31">
        <v>0</v>
      </c>
      <c r="R15" s="31">
        <v>11953.8</v>
      </c>
      <c r="S15" s="31">
        <v>0</v>
      </c>
      <c r="T15" s="149">
        <f t="shared" si="2"/>
        <v>136797.20000000001</v>
      </c>
      <c r="U15" s="31">
        <v>9622.7000000000007</v>
      </c>
      <c r="V15" s="31">
        <v>40460.199999999997</v>
      </c>
      <c r="W15" s="31">
        <v>12230.4</v>
      </c>
      <c r="X15" s="31">
        <v>26003.599999999999</v>
      </c>
      <c r="Y15" s="31">
        <v>3894.6</v>
      </c>
      <c r="Z15" s="31">
        <v>8948.1</v>
      </c>
      <c r="AA15" s="31">
        <v>54242.6</v>
      </c>
      <c r="AB15" s="31">
        <v>7763.9</v>
      </c>
      <c r="AC15" s="150">
        <f t="shared" si="3"/>
        <v>163166.1</v>
      </c>
      <c r="AD15" s="151">
        <f t="shared" si="4"/>
        <v>-26368.899999999994</v>
      </c>
      <c r="AE15" s="152">
        <f t="shared" si="5"/>
        <v>-7.9134872039829385E-2</v>
      </c>
      <c r="AF15" s="31"/>
      <c r="AG15" s="21">
        <v>40908</v>
      </c>
      <c r="AH15" s="25">
        <f t="shared" si="6"/>
        <v>-7.9134872039829385E-2</v>
      </c>
      <c r="AI15" s="25">
        <f t="shared" si="7"/>
        <v>-7.9134872039829385E-2</v>
      </c>
      <c r="AJ15" s="25">
        <f t="shared" si="8"/>
        <v>-7.9134872039829385E-2</v>
      </c>
      <c r="AK15" s="31"/>
      <c r="AL15" s="31"/>
      <c r="AM15" s="31"/>
      <c r="AN15" s="31"/>
      <c r="AO15" s="31"/>
      <c r="AP15" s="31"/>
      <c r="AQ15" s="31"/>
      <c r="AR15" s="31"/>
      <c r="AS15" s="21">
        <v>38352</v>
      </c>
      <c r="AT15" s="298">
        <v>43870.80915810493</v>
      </c>
      <c r="AU15" s="298">
        <v>57303.15565385278</v>
      </c>
      <c r="AV15" s="298">
        <v>101173.9648119577</v>
      </c>
      <c r="AW15" s="298">
        <v>101173.9648119577</v>
      </c>
      <c r="AX15" s="298">
        <v>101173.9648119577</v>
      </c>
      <c r="AY15" s="302">
        <f t="shared" si="10"/>
        <v>0.40309439382790474</v>
      </c>
      <c r="AZ15" s="302">
        <f t="shared" si="9"/>
        <v>0.40309439382790474</v>
      </c>
      <c r="BA15" s="302">
        <f t="shared" si="9"/>
        <v>0.40309439382790474</v>
      </c>
      <c r="BB15" s="31"/>
      <c r="BC15" s="31"/>
      <c r="BD15" s="31"/>
      <c r="BE15" t="s">
        <v>48</v>
      </c>
      <c r="BF15" s="299">
        <v>250993.23225803146</v>
      </c>
    </row>
    <row r="16" spans="1:58" ht="14.25" customHeight="1">
      <c r="A16" s="21">
        <v>41274</v>
      </c>
      <c r="B16" s="31">
        <v>56335.7</v>
      </c>
      <c r="C16" s="31">
        <v>3555.9</v>
      </c>
      <c r="D16" s="148">
        <f t="shared" si="0"/>
        <v>59891.6</v>
      </c>
      <c r="E16" s="31">
        <v>12191.2</v>
      </c>
      <c r="F16" s="31">
        <v>6597.3</v>
      </c>
      <c r="G16" s="31">
        <v>38.5</v>
      </c>
      <c r="H16" s="31">
        <v>2104.5</v>
      </c>
      <c r="I16" s="31">
        <v>19771.599999999999</v>
      </c>
      <c r="J16" s="31">
        <v>18074.3</v>
      </c>
      <c r="K16" s="148">
        <f t="shared" si="1"/>
        <v>37845.899999999994</v>
      </c>
      <c r="L16" s="31">
        <v>7.4</v>
      </c>
      <c r="M16" s="31">
        <v>2718.1</v>
      </c>
      <c r="N16" s="31">
        <v>4503.2</v>
      </c>
      <c r="O16" s="31">
        <v>1172.8</v>
      </c>
      <c r="P16" s="31">
        <v>2387</v>
      </c>
      <c r="Q16" s="31">
        <v>0</v>
      </c>
      <c r="R16" s="31">
        <v>12554.2</v>
      </c>
      <c r="S16" s="31">
        <v>0</v>
      </c>
      <c r="T16" s="149">
        <f t="shared" si="2"/>
        <v>142011.69999999998</v>
      </c>
      <c r="U16" s="31">
        <v>5716.1</v>
      </c>
      <c r="V16" s="31">
        <v>39910</v>
      </c>
      <c r="W16" s="31">
        <v>12472.3</v>
      </c>
      <c r="X16" s="31">
        <v>25763.599999999999</v>
      </c>
      <c r="Y16" s="31">
        <v>4649.3</v>
      </c>
      <c r="Z16" s="31">
        <v>10192.200000000001</v>
      </c>
      <c r="AA16" s="31">
        <v>53853.599999999999</v>
      </c>
      <c r="AB16" s="31">
        <v>7148.5</v>
      </c>
      <c r="AC16" s="150">
        <f t="shared" si="3"/>
        <v>159705.60000000001</v>
      </c>
      <c r="AD16" s="151">
        <f t="shared" si="4"/>
        <v>-17693.900000000023</v>
      </c>
      <c r="AE16" s="152">
        <f t="shared" si="5"/>
        <v>-5.3535246159657067E-2</v>
      </c>
      <c r="AF16" s="31"/>
      <c r="AG16" s="21">
        <v>41274</v>
      </c>
      <c r="AH16" s="25">
        <f t="shared" si="6"/>
        <v>-5.3535246159657067E-2</v>
      </c>
      <c r="AI16" s="25">
        <f t="shared" si="7"/>
        <v>-5.3535246159657067E-2</v>
      </c>
      <c r="AJ16" s="25">
        <f t="shared" si="8"/>
        <v>-5.3535246159657067E-2</v>
      </c>
      <c r="AK16" s="31"/>
      <c r="AL16" s="31"/>
      <c r="AM16" s="31"/>
      <c r="AN16" s="31"/>
      <c r="AO16" s="31"/>
      <c r="AP16" s="31"/>
      <c r="AQ16" s="31"/>
      <c r="AR16" s="31"/>
      <c r="AS16" s="21">
        <v>38717</v>
      </c>
      <c r="AT16" s="298">
        <v>55928.824033388875</v>
      </c>
      <c r="AU16" s="298">
        <v>55477.427743677668</v>
      </c>
      <c r="AV16" s="298">
        <v>111406.25177706653</v>
      </c>
      <c r="AW16" s="298">
        <v>111406.25177706653</v>
      </c>
      <c r="AX16" s="298">
        <v>111406.25177706653</v>
      </c>
      <c r="AY16" s="302">
        <f t="shared" si="10"/>
        <v>0.41259305085363696</v>
      </c>
      <c r="AZ16" s="302">
        <f t="shared" si="9"/>
        <v>0.41259305085363696</v>
      </c>
      <c r="BA16" s="302">
        <f t="shared" si="9"/>
        <v>0.41259305085363696</v>
      </c>
      <c r="BB16" s="31"/>
      <c r="BC16" s="31"/>
      <c r="BD16" s="31"/>
      <c r="BE16" t="s">
        <v>49</v>
      </c>
      <c r="BF16" s="299">
        <v>270014.85252010881</v>
      </c>
    </row>
    <row r="17" spans="1:58" ht="14.25" customHeight="1">
      <c r="A17" s="21">
        <v>41639</v>
      </c>
      <c r="B17" s="31">
        <v>58022.6</v>
      </c>
      <c r="C17" s="31">
        <v>3642.9</v>
      </c>
      <c r="D17" s="148">
        <f t="shared" si="0"/>
        <v>61665.5</v>
      </c>
      <c r="E17" s="31">
        <v>12761.9</v>
      </c>
      <c r="F17" s="31">
        <v>6741.8</v>
      </c>
      <c r="G17" s="31">
        <v>32</v>
      </c>
      <c r="H17" s="31">
        <v>2051.6999999999998</v>
      </c>
      <c r="I17" s="31">
        <v>18924.599999999999</v>
      </c>
      <c r="J17" s="31">
        <v>18224.7</v>
      </c>
      <c r="K17" s="148">
        <f t="shared" si="1"/>
        <v>37149.300000000003</v>
      </c>
      <c r="L17" s="31">
        <v>6.1</v>
      </c>
      <c r="M17" s="31">
        <v>895.3</v>
      </c>
      <c r="N17" s="31">
        <v>4340.1000000000004</v>
      </c>
      <c r="O17" s="31">
        <v>1284</v>
      </c>
      <c r="P17" s="31">
        <v>2283.4</v>
      </c>
      <c r="Q17" s="31">
        <v>0</v>
      </c>
      <c r="R17" s="31">
        <v>12928.1</v>
      </c>
      <c r="S17" s="31">
        <v>0</v>
      </c>
      <c r="T17" s="149">
        <f t="shared" si="2"/>
        <v>142139.20000000001</v>
      </c>
      <c r="U17" s="31">
        <v>4361.8</v>
      </c>
      <c r="V17" s="31">
        <v>38823.199999999997</v>
      </c>
      <c r="W17" s="31">
        <v>12995.2</v>
      </c>
      <c r="X17" s="31">
        <v>26343</v>
      </c>
      <c r="Y17" s="31">
        <v>6293.4</v>
      </c>
      <c r="Z17" s="31">
        <v>10383.9</v>
      </c>
      <c r="AA17" s="31">
        <v>54865.5</v>
      </c>
      <c r="AB17" s="31">
        <v>5750.5</v>
      </c>
      <c r="AC17" s="150">
        <f t="shared" si="3"/>
        <v>159816.5</v>
      </c>
      <c r="AD17" s="151">
        <f t="shared" si="4"/>
        <v>-17677.299999999988</v>
      </c>
      <c r="AE17" s="152">
        <f t="shared" si="5"/>
        <v>-5.3372048352301513E-2</v>
      </c>
      <c r="AF17" s="31"/>
      <c r="AG17" s="21">
        <v>41639</v>
      </c>
      <c r="AH17" s="25">
        <f t="shared" si="6"/>
        <v>-5.3372048352301513E-2</v>
      </c>
      <c r="AI17" s="25">
        <f t="shared" si="7"/>
        <v>-5.3372048352301513E-2</v>
      </c>
      <c r="AJ17" s="25">
        <f t="shared" si="8"/>
        <v>-5.3372048352301513E-2</v>
      </c>
      <c r="AK17" s="31"/>
      <c r="AL17" s="31"/>
      <c r="AM17" s="31"/>
      <c r="AN17" s="31"/>
      <c r="AO17" s="31"/>
      <c r="AP17" s="31"/>
      <c r="AQ17" s="31"/>
      <c r="AR17" s="31"/>
      <c r="AS17" s="21">
        <v>39082</v>
      </c>
      <c r="AT17" s="298">
        <v>59427.634227855844</v>
      </c>
      <c r="AU17" s="298">
        <v>54661.522429857221</v>
      </c>
      <c r="AV17" s="298">
        <v>114089.15665771304</v>
      </c>
      <c r="AW17" s="298">
        <v>114089.15665771304</v>
      </c>
      <c r="AX17" s="298">
        <v>114089.15665771304</v>
      </c>
      <c r="AY17" s="302">
        <f t="shared" si="10"/>
        <v>0.3874722065102536</v>
      </c>
      <c r="AZ17" s="302">
        <f t="shared" si="9"/>
        <v>0.3874722065102536</v>
      </c>
      <c r="BA17" s="302">
        <f t="shared" si="9"/>
        <v>0.3874722065102536</v>
      </c>
      <c r="BB17" s="31"/>
      <c r="BC17" s="31"/>
      <c r="BD17" s="31"/>
      <c r="BE17" t="s">
        <v>50</v>
      </c>
      <c r="BF17" s="299">
        <v>294444.74917375506</v>
      </c>
    </row>
    <row r="18" spans="1:58" ht="14.25" customHeight="1">
      <c r="A18" s="21">
        <v>42004</v>
      </c>
      <c r="B18" s="31">
        <v>57545.1</v>
      </c>
      <c r="C18" s="31">
        <v>3744.6</v>
      </c>
      <c r="D18" s="148">
        <f t="shared" si="0"/>
        <v>61289.7</v>
      </c>
      <c r="E18" s="31">
        <v>12821.3</v>
      </c>
      <c r="F18" s="31">
        <v>5824.7</v>
      </c>
      <c r="G18" s="31">
        <v>119.3</v>
      </c>
      <c r="H18" s="31">
        <v>2075.6999999999998</v>
      </c>
      <c r="I18" s="31">
        <v>20278.099999999999</v>
      </c>
      <c r="J18" s="31">
        <v>18908.599999999999</v>
      </c>
      <c r="K18" s="148">
        <f t="shared" si="1"/>
        <v>39186.699999999997</v>
      </c>
      <c r="L18" s="31">
        <v>9.6</v>
      </c>
      <c r="M18" s="31">
        <v>938.5</v>
      </c>
      <c r="N18" s="31">
        <v>4719.8999999999996</v>
      </c>
      <c r="O18" s="31">
        <v>1695.7</v>
      </c>
      <c r="P18" s="31">
        <v>2446.5</v>
      </c>
      <c r="Q18" s="31">
        <v>0</v>
      </c>
      <c r="R18" s="31">
        <v>12626.5</v>
      </c>
      <c r="S18" s="31">
        <v>0</v>
      </c>
      <c r="T18" s="149">
        <f t="shared" si="2"/>
        <v>143754.1</v>
      </c>
      <c r="U18" s="31">
        <v>5641.5</v>
      </c>
      <c r="V18" s="31">
        <v>38011.4</v>
      </c>
      <c r="W18" s="31">
        <v>12732.5</v>
      </c>
      <c r="X18" s="31">
        <v>27463.4</v>
      </c>
      <c r="Y18" s="31">
        <v>5158.3</v>
      </c>
      <c r="Z18" s="31">
        <v>11388.5</v>
      </c>
      <c r="AA18" s="31">
        <v>56045.7</v>
      </c>
      <c r="AB18" s="31">
        <v>5037.8</v>
      </c>
      <c r="AC18" s="150">
        <f t="shared" si="3"/>
        <v>161479.09999999998</v>
      </c>
      <c r="AD18" s="151">
        <f t="shared" si="4"/>
        <v>-17724.999999999971</v>
      </c>
      <c r="AE18" s="152">
        <f t="shared" si="5"/>
        <v>-5.3494453375993636E-2</v>
      </c>
      <c r="AF18" s="31"/>
      <c r="AG18" s="21">
        <v>42004</v>
      </c>
      <c r="AH18" s="25">
        <f t="shared" si="6"/>
        <v>-5.3494453375993636E-2</v>
      </c>
      <c r="AI18" s="25">
        <f t="shared" si="7"/>
        <v>-5.3494453375993636E-2</v>
      </c>
      <c r="AJ18" s="25">
        <f t="shared" si="8"/>
        <v>-5.3494453375993636E-2</v>
      </c>
      <c r="AK18" s="31"/>
      <c r="AL18" s="31"/>
      <c r="AM18" s="31"/>
      <c r="AN18" s="31"/>
      <c r="AO18" s="31"/>
      <c r="AP18" s="31"/>
      <c r="AQ18" s="31"/>
      <c r="AR18" s="31"/>
      <c r="AS18" s="21">
        <v>39447</v>
      </c>
      <c r="AT18" s="298">
        <v>59697.42640672886</v>
      </c>
      <c r="AU18" s="298">
        <v>60876.139163590065</v>
      </c>
      <c r="AV18" s="298">
        <v>120573.56557031894</v>
      </c>
      <c r="AW18" s="298">
        <v>120573.56557031894</v>
      </c>
      <c r="AX18" s="298">
        <v>120573.56557031894</v>
      </c>
      <c r="AY18" s="302">
        <f t="shared" si="10"/>
        <v>0.37353404144202751</v>
      </c>
      <c r="AZ18" s="302">
        <f t="shared" si="9"/>
        <v>0.37353404144202751</v>
      </c>
      <c r="BA18" s="302">
        <f t="shared" si="9"/>
        <v>0.37353404144202751</v>
      </c>
      <c r="BB18" s="31"/>
      <c r="BC18" s="31"/>
      <c r="BD18" s="31"/>
      <c r="BE18" t="s">
        <v>51</v>
      </c>
      <c r="BF18" s="299">
        <v>322791.37158381846</v>
      </c>
    </row>
    <row r="19" spans="1:58" ht="14.25" customHeight="1">
      <c r="A19" s="21">
        <v>42369</v>
      </c>
      <c r="B19" s="31">
        <v>60488.1</v>
      </c>
      <c r="C19" s="31">
        <v>4346.6000000000004</v>
      </c>
      <c r="D19" s="148">
        <f t="shared" si="0"/>
        <v>64834.7</v>
      </c>
      <c r="E19" s="31">
        <v>12038.6</v>
      </c>
      <c r="F19" s="31">
        <v>6362.6</v>
      </c>
      <c r="G19" s="31">
        <v>306.3</v>
      </c>
      <c r="H19" s="31">
        <v>2109.3000000000002</v>
      </c>
      <c r="I19" s="31">
        <v>21062.9</v>
      </c>
      <c r="J19" s="31">
        <v>19651.5</v>
      </c>
      <c r="K19" s="148">
        <f t="shared" si="1"/>
        <v>40714.400000000001</v>
      </c>
      <c r="L19" s="31">
        <v>10.4</v>
      </c>
      <c r="M19" s="31">
        <v>1671.9</v>
      </c>
      <c r="N19" s="31">
        <v>7911.1</v>
      </c>
      <c r="O19" s="31">
        <v>1078.9000000000001</v>
      </c>
      <c r="P19" s="31">
        <v>2255.1</v>
      </c>
      <c r="Q19" s="31">
        <v>0</v>
      </c>
      <c r="R19" s="31">
        <v>14652.8</v>
      </c>
      <c r="S19" s="31">
        <v>0</v>
      </c>
      <c r="T19" s="149">
        <f t="shared" si="2"/>
        <v>153946.09999999998</v>
      </c>
      <c r="U19" s="31">
        <v>5005.8999999999996</v>
      </c>
      <c r="V19" s="31">
        <v>38987.5</v>
      </c>
      <c r="W19" s="31">
        <v>11829.4</v>
      </c>
      <c r="X19" s="31">
        <v>27950.400000000001</v>
      </c>
      <c r="Y19" s="31">
        <v>7960.1</v>
      </c>
      <c r="Z19" s="31">
        <v>11686.3</v>
      </c>
      <c r="AA19" s="31">
        <v>57742</v>
      </c>
      <c r="AB19" s="31">
        <v>4045.4</v>
      </c>
      <c r="AC19" s="150">
        <f t="shared" si="3"/>
        <v>165207.00000000003</v>
      </c>
      <c r="AD19" s="151">
        <f t="shared" si="4"/>
        <v>-11260.900000000052</v>
      </c>
      <c r="AE19" s="152">
        <f t="shared" si="5"/>
        <v>-3.3149890789207923E-2</v>
      </c>
      <c r="AF19" s="31"/>
      <c r="AG19" s="21">
        <v>42369</v>
      </c>
      <c r="AH19" s="25">
        <f t="shared" si="6"/>
        <v>-3.3149890789207923E-2</v>
      </c>
      <c r="AI19" s="25">
        <f t="shared" si="7"/>
        <v>-3.3149890789207923E-2</v>
      </c>
      <c r="AJ19" s="25">
        <f t="shared" si="8"/>
        <v>-3.3149890789207923E-2</v>
      </c>
      <c r="AK19" s="31"/>
      <c r="AL19" s="31"/>
      <c r="AM19" s="31"/>
      <c r="AN19" s="31"/>
      <c r="AO19" s="31"/>
      <c r="AP19" s="31"/>
      <c r="AQ19" s="31"/>
      <c r="AR19" s="31"/>
      <c r="AS19" s="21">
        <v>39813</v>
      </c>
      <c r="AT19" s="298">
        <v>71571.942513256741</v>
      </c>
      <c r="AU19" s="298">
        <v>64628.969707781791</v>
      </c>
      <c r="AV19" s="298">
        <v>136200.91222103854</v>
      </c>
      <c r="AW19" s="298">
        <v>136200.91222103854</v>
      </c>
      <c r="AX19" s="298">
        <v>136200.91222103854</v>
      </c>
      <c r="AY19" s="302">
        <f t="shared" si="10"/>
        <v>0.39280963603624736</v>
      </c>
      <c r="AZ19" s="302">
        <f t="shared" si="9"/>
        <v>0.39280963603624736</v>
      </c>
      <c r="BA19" s="302">
        <f t="shared" si="9"/>
        <v>0.39280963603624736</v>
      </c>
      <c r="BB19" s="31"/>
      <c r="BC19" s="31"/>
      <c r="BD19" s="31"/>
      <c r="BE19" t="s">
        <v>52</v>
      </c>
      <c r="BF19" s="299">
        <v>346735.16056126053</v>
      </c>
    </row>
    <row r="20" spans="1:58" ht="14.25" customHeight="1">
      <c r="A20" s="21">
        <v>42735</v>
      </c>
      <c r="B20" s="31">
        <v>63093.5</v>
      </c>
      <c r="C20" s="31">
        <v>4526.6000000000004</v>
      </c>
      <c r="D20" s="148">
        <f t="shared" si="0"/>
        <v>67620.100000000006</v>
      </c>
      <c r="E20" s="31">
        <v>12765.3</v>
      </c>
      <c r="F20" s="31">
        <v>7745.2</v>
      </c>
      <c r="G20" s="31">
        <v>327.3</v>
      </c>
      <c r="H20" s="31">
        <v>2044.9</v>
      </c>
      <c r="I20" s="31">
        <v>20456.900000000001</v>
      </c>
      <c r="J20" s="31">
        <v>21273.1</v>
      </c>
      <c r="K20" s="148">
        <f t="shared" si="1"/>
        <v>41730</v>
      </c>
      <c r="L20" s="31">
        <v>14.2</v>
      </c>
      <c r="M20" s="31">
        <v>2429.4</v>
      </c>
      <c r="N20" s="31">
        <v>9225.5</v>
      </c>
      <c r="O20" s="31">
        <v>888.3</v>
      </c>
      <c r="P20" s="31">
        <v>2698.6</v>
      </c>
      <c r="Q20" s="31">
        <v>0</v>
      </c>
      <c r="R20" s="31">
        <v>15669.1</v>
      </c>
      <c r="S20" s="31">
        <v>0</v>
      </c>
      <c r="T20" s="149">
        <f t="shared" si="2"/>
        <v>163157.9</v>
      </c>
      <c r="U20" s="31">
        <v>6261.6</v>
      </c>
      <c r="V20" s="31">
        <v>40066.400000000001</v>
      </c>
      <c r="W20" s="31">
        <v>12278</v>
      </c>
      <c r="X20" s="31">
        <v>28786.1</v>
      </c>
      <c r="Y20" s="31">
        <v>8094.4</v>
      </c>
      <c r="Z20" s="31">
        <v>10863.8</v>
      </c>
      <c r="AA20" s="31">
        <v>56026.3</v>
      </c>
      <c r="AB20" s="31">
        <v>4665.6000000000004</v>
      </c>
      <c r="AC20" s="150">
        <f t="shared" si="3"/>
        <v>167042.20000000001</v>
      </c>
      <c r="AD20" s="151">
        <f t="shared" si="4"/>
        <v>-3884.3000000000175</v>
      </c>
      <c r="AE20" s="152">
        <f t="shared" si="5"/>
        <v>-1.1061064160978181E-2</v>
      </c>
      <c r="AF20" s="31"/>
      <c r="AG20" s="21">
        <v>42735</v>
      </c>
      <c r="AH20" s="25">
        <f t="shared" si="6"/>
        <v>-1.1061064160978181E-2</v>
      </c>
      <c r="AI20" s="25">
        <f t="shared" si="7"/>
        <v>-1.1061064160978181E-2</v>
      </c>
      <c r="AJ20" s="25">
        <f t="shared" si="8"/>
        <v>-1.1061064160978181E-2</v>
      </c>
      <c r="AK20" s="31"/>
      <c r="AL20" s="31"/>
      <c r="AM20" s="31"/>
      <c r="AN20" s="31"/>
      <c r="AO20" s="31"/>
      <c r="AP20" s="31"/>
      <c r="AQ20" s="31"/>
      <c r="AR20" s="31"/>
      <c r="AS20" s="21">
        <v>40178</v>
      </c>
      <c r="AT20" s="298">
        <v>83954.809226568163</v>
      </c>
      <c r="AU20" s="298">
        <v>77018.935974070831</v>
      </c>
      <c r="AV20" s="298">
        <v>160973.74520063898</v>
      </c>
      <c r="AW20" s="298">
        <v>160973.74520063898</v>
      </c>
      <c r="AX20" s="298">
        <v>160973.74520063898</v>
      </c>
      <c r="AY20" s="302">
        <f t="shared" si="10"/>
        <v>0.48666257148407827</v>
      </c>
      <c r="AZ20" s="302">
        <f t="shared" si="9"/>
        <v>0.48666257148407827</v>
      </c>
      <c r="BA20" s="302">
        <f t="shared" si="9"/>
        <v>0.48666257148407827</v>
      </c>
      <c r="BB20" s="31"/>
      <c r="BC20" s="31"/>
      <c r="BD20" s="31"/>
      <c r="BE20" t="s">
        <v>53</v>
      </c>
      <c r="BF20" s="299">
        <v>330770.75294643943</v>
      </c>
    </row>
    <row r="21" spans="1:58" ht="14.25" customHeight="1">
      <c r="A21" s="21">
        <v>43100</v>
      </c>
      <c r="B21" s="31">
        <v>67313.3</v>
      </c>
      <c r="C21" s="31">
        <v>4210.6000000000004</v>
      </c>
      <c r="D21" s="148">
        <f t="shared" si="0"/>
        <v>71523.900000000009</v>
      </c>
      <c r="E21" s="31">
        <v>12097.8</v>
      </c>
      <c r="F21" s="31">
        <v>8462.1</v>
      </c>
      <c r="G21" s="31">
        <v>340.09999999999997</v>
      </c>
      <c r="H21" s="31">
        <v>2088.6999999999998</v>
      </c>
      <c r="I21" s="31">
        <v>21216.7</v>
      </c>
      <c r="J21" s="31">
        <v>22417.1</v>
      </c>
      <c r="K21" s="148">
        <f t="shared" si="1"/>
        <v>43633.8</v>
      </c>
      <c r="L21" s="31">
        <v>8.3000000000000007</v>
      </c>
      <c r="M21" s="31">
        <v>1614</v>
      </c>
      <c r="N21" s="31">
        <v>10113.799999999999</v>
      </c>
      <c r="O21" s="31">
        <v>899.3</v>
      </c>
      <c r="P21" s="31">
        <v>2805.7</v>
      </c>
      <c r="Q21" s="31">
        <v>0</v>
      </c>
      <c r="R21" s="31">
        <v>15526.6</v>
      </c>
      <c r="S21" s="31">
        <v>0</v>
      </c>
      <c r="T21" s="149">
        <f t="shared" si="2"/>
        <v>169114.10000000003</v>
      </c>
      <c r="U21" s="31">
        <v>4714.5</v>
      </c>
      <c r="V21" s="31">
        <v>41760.6</v>
      </c>
      <c r="W21" s="31">
        <v>10116.1</v>
      </c>
      <c r="X21" s="31">
        <v>29481</v>
      </c>
      <c r="Y21" s="31">
        <v>7535.5</v>
      </c>
      <c r="Z21" s="31">
        <v>9793</v>
      </c>
      <c r="AA21" s="31">
        <v>57188.6</v>
      </c>
      <c r="AB21" s="31">
        <v>5611</v>
      </c>
      <c r="AC21" s="150">
        <f t="shared" si="3"/>
        <v>166200.29999999999</v>
      </c>
      <c r="AD21" s="151">
        <f t="shared" si="4"/>
        <v>2913.8000000000466</v>
      </c>
      <c r="AE21" s="152">
        <f t="shared" si="5"/>
        <v>7.9519421094693399E-3</v>
      </c>
      <c r="AF21" s="31"/>
      <c r="AG21" s="21">
        <v>43100</v>
      </c>
      <c r="AH21" s="25">
        <f t="shared" si="6"/>
        <v>7.9519421094693399E-3</v>
      </c>
      <c r="AI21" s="25">
        <f t="shared" si="7"/>
        <v>7.9519421094693399E-3</v>
      </c>
      <c r="AJ21" s="25">
        <f t="shared" si="8"/>
        <v>7.9519421094693399E-3</v>
      </c>
      <c r="AK21" s="31"/>
      <c r="AL21" s="31"/>
      <c r="AM21" s="31"/>
      <c r="AN21" s="31"/>
      <c r="AO21" s="31"/>
      <c r="AP21" s="31"/>
      <c r="AQ21" s="31"/>
      <c r="AR21" s="31"/>
      <c r="AS21" s="21">
        <v>40543</v>
      </c>
      <c r="AT21" s="298">
        <v>104278.41700112894</v>
      </c>
      <c r="AU21" s="298">
        <v>85753.433083185315</v>
      </c>
      <c r="AV21" s="298">
        <v>190031.85008431427</v>
      </c>
      <c r="AW21" s="298">
        <v>190031.85008431427</v>
      </c>
      <c r="AX21" s="298">
        <v>190031.85008431427</v>
      </c>
      <c r="AY21" s="302">
        <f t="shared" si="10"/>
        <v>0.57791327735781084</v>
      </c>
      <c r="AZ21" s="302">
        <f t="shared" si="9"/>
        <v>0.57791327735781084</v>
      </c>
      <c r="BA21" s="302">
        <f t="shared" si="9"/>
        <v>0.57791327735781084</v>
      </c>
      <c r="BB21" s="31"/>
      <c r="BC21" s="31"/>
      <c r="BD21" s="31"/>
      <c r="BE21" t="s">
        <v>54</v>
      </c>
      <c r="BF21" s="299">
        <v>328824.16364117799</v>
      </c>
    </row>
    <row r="22" spans="1:58" ht="14.25" customHeight="1">
      <c r="A22" s="21">
        <v>43465</v>
      </c>
      <c r="B22" s="31">
        <v>72248.3</v>
      </c>
      <c r="C22" s="31">
        <v>4417.8</v>
      </c>
      <c r="D22" s="148">
        <f t="shared" si="0"/>
        <v>76666.100000000006</v>
      </c>
      <c r="E22" s="31">
        <v>13582.6</v>
      </c>
      <c r="F22" s="31">
        <v>8730.2000000000007</v>
      </c>
      <c r="G22" s="31">
        <v>351.2</v>
      </c>
      <c r="H22" s="31">
        <v>2111.6</v>
      </c>
      <c r="I22" s="31">
        <v>22066.5</v>
      </c>
      <c r="J22" s="31">
        <v>23841.200000000001</v>
      </c>
      <c r="K22" s="148">
        <f t="shared" si="1"/>
        <v>45907.7</v>
      </c>
      <c r="L22" s="31">
        <v>8.4</v>
      </c>
      <c r="M22" s="31">
        <v>2137.3000000000002</v>
      </c>
      <c r="N22" s="31">
        <v>7748.3</v>
      </c>
      <c r="O22" s="31">
        <v>844.8</v>
      </c>
      <c r="P22" s="155">
        <v>2512.4</v>
      </c>
      <c r="Q22" s="31">
        <v>0</v>
      </c>
      <c r="R22" s="31">
        <v>16597.8</v>
      </c>
      <c r="S22" s="31">
        <v>0</v>
      </c>
      <c r="T22" s="149">
        <f t="shared" si="2"/>
        <v>177198.40000000005</v>
      </c>
      <c r="U22" s="31">
        <v>6909.9</v>
      </c>
      <c r="V22" s="31">
        <v>44491.4</v>
      </c>
      <c r="W22" s="31">
        <v>13603.1</v>
      </c>
      <c r="X22" s="31">
        <v>30844.1</v>
      </c>
      <c r="Y22" s="31">
        <v>5176.3</v>
      </c>
      <c r="Z22" s="31">
        <v>8932</v>
      </c>
      <c r="AA22" s="31">
        <v>59516.5</v>
      </c>
      <c r="AB22" s="31">
        <v>6733.3</v>
      </c>
      <c r="AC22" s="150">
        <f t="shared" si="3"/>
        <v>176206.59999999998</v>
      </c>
      <c r="AD22" s="151">
        <f t="shared" si="4"/>
        <v>991.80000000007567</v>
      </c>
      <c r="AE22" s="152">
        <f t="shared" si="5"/>
        <v>2.5897925323540715E-3</v>
      </c>
      <c r="AF22" s="31"/>
      <c r="AG22" s="21">
        <v>43465</v>
      </c>
      <c r="AH22" s="25">
        <f t="shared" si="6"/>
        <v>2.5897925323540715E-3</v>
      </c>
      <c r="AI22" s="25">
        <f t="shared" si="7"/>
        <v>2.5897925323540715E-3</v>
      </c>
      <c r="AJ22" s="25">
        <f t="shared" si="8"/>
        <v>2.5897925323540715E-3</v>
      </c>
      <c r="AK22" s="31"/>
      <c r="AL22" s="31"/>
      <c r="AM22" s="31"/>
      <c r="AN22" s="31"/>
      <c r="AO22" s="31"/>
      <c r="AP22" s="31"/>
      <c r="AQ22" s="31"/>
      <c r="AR22" s="31"/>
      <c r="AS22" s="21">
        <v>40908</v>
      </c>
      <c r="AT22" s="298">
        <v>123972.75989266025</v>
      </c>
      <c r="AU22" s="298">
        <v>90515.229974215457</v>
      </c>
      <c r="AV22" s="298">
        <v>214487.98986687569</v>
      </c>
      <c r="AW22" s="298">
        <v>214487.98986687569</v>
      </c>
      <c r="AX22" s="298">
        <v>214487.98986687569</v>
      </c>
      <c r="AY22" s="302">
        <f t="shared" si="10"/>
        <v>0.64369286118885916</v>
      </c>
      <c r="AZ22" s="302">
        <f t="shared" ref="AZ22:AZ29" si="11">AW22/$BF22</f>
        <v>0.64369286118885916</v>
      </c>
      <c r="BA22" s="302">
        <f t="shared" ref="BA22:BA29" si="12">AX22/$BF22</f>
        <v>0.64369286118885916</v>
      </c>
      <c r="BB22" s="31"/>
      <c r="BC22" s="31"/>
      <c r="BD22" s="31"/>
      <c r="BE22" t="s">
        <v>55</v>
      </c>
      <c r="BF22" s="299">
        <v>333214.80289641587</v>
      </c>
    </row>
    <row r="23" spans="1:58" ht="14.25" customHeight="1">
      <c r="A23" s="164">
        <v>43830</v>
      </c>
      <c r="B23" s="165">
        <v>76224</v>
      </c>
      <c r="C23" s="165">
        <v>5065</v>
      </c>
      <c r="D23" s="166">
        <f t="shared" si="0"/>
        <v>81289</v>
      </c>
      <c r="E23" s="167">
        <f t="shared" ref="E23:G23" si="13">E22*(1+$E$94)</f>
        <v>14446.135489763501</v>
      </c>
      <c r="F23" s="167">
        <f t="shared" si="13"/>
        <v>9285.236409283445</v>
      </c>
      <c r="G23" s="167">
        <f t="shared" si="13"/>
        <v>373.52810095305324</v>
      </c>
      <c r="H23" s="167">
        <v>2151.6999999999998</v>
      </c>
      <c r="I23" s="165">
        <v>22417</v>
      </c>
      <c r="J23" s="165">
        <v>24947</v>
      </c>
      <c r="K23" s="169">
        <v>47364</v>
      </c>
      <c r="L23" s="165">
        <v>13</v>
      </c>
      <c r="M23" s="165">
        <v>3703</v>
      </c>
      <c r="N23" s="165">
        <v>9631</v>
      </c>
      <c r="O23" s="165">
        <v>839</v>
      </c>
      <c r="P23" s="165">
        <v>2640</v>
      </c>
      <c r="Q23" s="170">
        <v>0</v>
      </c>
      <c r="R23" s="165">
        <v>17970</v>
      </c>
      <c r="S23" s="170">
        <v>0</v>
      </c>
      <c r="T23" s="171">
        <f t="shared" si="2"/>
        <v>189705.60000000001</v>
      </c>
      <c r="U23" s="165">
        <v>7541</v>
      </c>
      <c r="V23" s="165">
        <v>47486</v>
      </c>
      <c r="W23" s="165">
        <v>17322</v>
      </c>
      <c r="X23" s="165">
        <v>33329</v>
      </c>
      <c r="Y23" s="165">
        <v>5371</v>
      </c>
      <c r="Z23" s="165">
        <v>8894</v>
      </c>
      <c r="AA23" s="165">
        <v>62205</v>
      </c>
      <c r="AB23" s="165">
        <v>6195</v>
      </c>
      <c r="AC23" s="172">
        <f t="shared" si="3"/>
        <v>188343</v>
      </c>
      <c r="AD23" s="151">
        <f t="shared" si="4"/>
        <v>1362.6000000000058</v>
      </c>
      <c r="AE23" s="152">
        <f t="shared" si="5"/>
        <v>3.4056264030558211E-3</v>
      </c>
      <c r="AG23" s="164">
        <v>43830</v>
      </c>
      <c r="AH23" s="173">
        <f t="shared" si="6"/>
        <v>3.4056264030558211E-3</v>
      </c>
      <c r="AI23" s="173">
        <f t="shared" si="7"/>
        <v>3.4056264030558211E-3</v>
      </c>
      <c r="AJ23" s="173">
        <f t="shared" si="8"/>
        <v>3.4056264030558211E-3</v>
      </c>
      <c r="AS23" s="21">
        <v>41274</v>
      </c>
      <c r="AT23" s="298">
        <v>133139.57548988558</v>
      </c>
      <c r="AU23" s="298">
        <v>98620.982906473306</v>
      </c>
      <c r="AV23" s="298">
        <v>231760.55839635892</v>
      </c>
      <c r="AW23" s="298">
        <v>231760.55839635892</v>
      </c>
      <c r="AX23" s="298">
        <v>231760.55839635892</v>
      </c>
      <c r="AY23" s="302">
        <f t="shared" si="10"/>
        <v>0.70122226222110329</v>
      </c>
      <c r="AZ23" s="302">
        <f t="shared" si="11"/>
        <v>0.70122226222110329</v>
      </c>
      <c r="BA23" s="302">
        <f t="shared" si="12"/>
        <v>0.70122226222110329</v>
      </c>
      <c r="BE23" t="s">
        <v>56</v>
      </c>
      <c r="BF23" s="299">
        <v>330509.41318129771</v>
      </c>
    </row>
    <row r="24" spans="1:58" ht="14.25" customHeight="1">
      <c r="A24" s="85">
        <v>44196</v>
      </c>
      <c r="B24" s="174"/>
      <c r="C24" s="174"/>
      <c r="D24" s="175">
        <f>SUM(bdp!AP109:AP112)*21%</f>
        <v>55185.328628401636</v>
      </c>
      <c r="E24" s="90">
        <f>AVERAGE(nezaposlenost!BC27:BF27)*AVERAGE(place!Y91:Y94)*12/1000000*9%</f>
        <v>12961.19425570247</v>
      </c>
      <c r="F24" s="69">
        <f>F23*60%</f>
        <v>5571.1418455700668</v>
      </c>
      <c r="G24" s="90">
        <f t="shared" ref="G24:H24" si="14">G23</f>
        <v>373.52810095305324</v>
      </c>
      <c r="H24" s="90">
        <f t="shared" si="14"/>
        <v>2151.6999999999998</v>
      </c>
      <c r="I24" s="174"/>
      <c r="J24" s="174"/>
      <c r="K24" s="175">
        <f>AVERAGE(nezaposlenost!BC27:BF27)*AVERAGE(place!Y91:Y94)*12/1000000*29%</f>
        <v>41763.848157263514</v>
      </c>
      <c r="L24" s="175">
        <f t="shared" ref="L24:S24" si="15">L23</f>
        <v>13</v>
      </c>
      <c r="M24" s="176">
        <f t="shared" si="15"/>
        <v>3703</v>
      </c>
      <c r="N24" s="176">
        <f>N23+8800</f>
        <v>18431</v>
      </c>
      <c r="O24" s="176">
        <f t="shared" si="15"/>
        <v>839</v>
      </c>
      <c r="P24" s="176">
        <f t="shared" si="15"/>
        <v>2640</v>
      </c>
      <c r="Q24" s="176">
        <f t="shared" si="15"/>
        <v>0</v>
      </c>
      <c r="R24" s="176">
        <f t="shared" si="15"/>
        <v>17970</v>
      </c>
      <c r="S24" s="176">
        <f t="shared" si="15"/>
        <v>0</v>
      </c>
      <c r="T24" s="177">
        <f t="shared" si="2"/>
        <v>161602.74098789075</v>
      </c>
      <c r="U24" s="90">
        <f>U23</f>
        <v>7541</v>
      </c>
      <c r="V24" s="90">
        <f>V23*103%</f>
        <v>48910.58</v>
      </c>
      <c r="W24" s="90">
        <f>W23</f>
        <v>17322</v>
      </c>
      <c r="X24" s="90">
        <f>X23*95%</f>
        <v>31662.55</v>
      </c>
      <c r="Y24" s="90">
        <f t="shared" ref="Y24:Z24" si="16">Y23</f>
        <v>5371</v>
      </c>
      <c r="Z24" s="90">
        <f t="shared" si="16"/>
        <v>8894</v>
      </c>
      <c r="AA24" s="178">
        <v>66425</v>
      </c>
      <c r="AB24" s="90">
        <f>AB23+10000</f>
        <v>16195</v>
      </c>
      <c r="AC24" s="179">
        <f t="shared" si="3"/>
        <v>202321.13</v>
      </c>
      <c r="AD24" s="151">
        <f t="shared" si="4"/>
        <v>-40718.389012109255</v>
      </c>
      <c r="AE24" s="152">
        <f t="shared" si="5"/>
        <v>-0.13243427154810675</v>
      </c>
      <c r="AG24" s="85">
        <v>44196</v>
      </c>
      <c r="AH24" s="87">
        <f t="shared" si="6"/>
        <v>-0.13243427154810675</v>
      </c>
      <c r="AI24" s="87">
        <f t="shared" si="7"/>
        <v>-0.12408471912401377</v>
      </c>
      <c r="AJ24" s="87">
        <f t="shared" si="8"/>
        <v>-0.11409904091054285</v>
      </c>
      <c r="AS24" s="21">
        <v>41639</v>
      </c>
      <c r="AT24" s="298">
        <v>152385.57322179957</v>
      </c>
      <c r="AU24" s="298">
        <v>116521.78554959956</v>
      </c>
      <c r="AV24" s="298">
        <v>268907.35877139913</v>
      </c>
      <c r="AW24" s="298">
        <v>268907.35877139913</v>
      </c>
      <c r="AX24" s="298">
        <v>268907.35877139913</v>
      </c>
      <c r="AY24" s="302">
        <f t="shared" si="10"/>
        <v>0.81189614083040706</v>
      </c>
      <c r="AZ24" s="302">
        <f t="shared" si="11"/>
        <v>0.81189614083040706</v>
      </c>
      <c r="BA24" s="302">
        <f t="shared" si="12"/>
        <v>0.81189614083040706</v>
      </c>
      <c r="BE24" t="s">
        <v>57</v>
      </c>
      <c r="BF24" s="299">
        <v>331209.06141561503</v>
      </c>
    </row>
    <row r="25" spans="1:58" ht="14.25" customHeight="1">
      <c r="M25" s="356" t="s">
        <v>329</v>
      </c>
      <c r="N25" s="357"/>
      <c r="O25" s="357"/>
      <c r="P25" s="357"/>
      <c r="Q25" s="357"/>
      <c r="R25" s="357"/>
      <c r="S25" s="358"/>
      <c r="U25" s="373" t="s">
        <v>330</v>
      </c>
      <c r="V25" s="357"/>
      <c r="W25" s="357"/>
      <c r="X25" s="357"/>
      <c r="Y25" s="357"/>
      <c r="Z25" s="357"/>
      <c r="AA25" s="357"/>
      <c r="AB25" s="358"/>
      <c r="AE25" s="345"/>
      <c r="AH25" s="344"/>
      <c r="AS25" s="21">
        <v>42004</v>
      </c>
      <c r="AT25" s="298">
        <v>160233.00272012965</v>
      </c>
      <c r="AU25" s="298">
        <v>120374.92552145806</v>
      </c>
      <c r="AV25" s="298">
        <v>280607.92824158765</v>
      </c>
      <c r="AW25" s="298">
        <v>280607.92824158765</v>
      </c>
      <c r="AX25" s="298">
        <v>280607.92824158765</v>
      </c>
      <c r="AY25" s="302">
        <f t="shared" si="10"/>
        <v>0.8468810924216772</v>
      </c>
      <c r="AZ25" s="302">
        <f t="shared" si="11"/>
        <v>0.8468810924216772</v>
      </c>
      <c r="BA25" s="302">
        <f t="shared" si="12"/>
        <v>0.8468810924216772</v>
      </c>
      <c r="BE25" t="s">
        <v>58</v>
      </c>
      <c r="BF25" s="299">
        <v>331342.77143817488</v>
      </c>
    </row>
    <row r="26" spans="1:58" ht="14.2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180"/>
      <c r="N26" s="180"/>
      <c r="O26" s="180"/>
      <c r="P26" s="180"/>
      <c r="Q26" s="180"/>
      <c r="R26" s="180"/>
      <c r="S26" s="180"/>
      <c r="T26" s="34"/>
      <c r="U26" s="180"/>
      <c r="V26" s="180"/>
      <c r="W26" s="180"/>
      <c r="X26" s="180"/>
      <c r="Y26" s="180"/>
      <c r="Z26" s="180"/>
      <c r="AA26" s="180"/>
      <c r="AB26" s="180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21">
        <v>42369</v>
      </c>
      <c r="AT26" s="298">
        <v>166150.48492113766</v>
      </c>
      <c r="AU26" s="298">
        <v>120259.91358305421</v>
      </c>
      <c r="AV26" s="298">
        <v>286410.39850419183</v>
      </c>
      <c r="AW26" s="298">
        <v>286410.39850419183</v>
      </c>
      <c r="AX26" s="298">
        <v>286410.39850419183</v>
      </c>
      <c r="AY26" s="302">
        <f t="shared" si="10"/>
        <v>0.84313720727367536</v>
      </c>
      <c r="AZ26" s="302">
        <f t="shared" si="11"/>
        <v>0.84313720727367536</v>
      </c>
      <c r="BA26" s="302">
        <f t="shared" si="12"/>
        <v>0.84313720727367536</v>
      </c>
      <c r="BB26" s="34"/>
      <c r="BC26" s="34"/>
      <c r="BD26" s="34"/>
      <c r="BE26" t="s">
        <v>59</v>
      </c>
      <c r="BF26" s="299">
        <v>339696.07322906982</v>
      </c>
    </row>
    <row r="27" spans="1:58" ht="14.25" customHeight="1">
      <c r="A27" s="393" t="s">
        <v>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57"/>
      <c r="AB27" s="357"/>
      <c r="AC27" s="357"/>
      <c r="AD27" s="357"/>
      <c r="AE27" s="358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21">
        <v>42735</v>
      </c>
      <c r="AT27" s="298">
        <v>173400.63741512407</v>
      </c>
      <c r="AU27" s="298">
        <v>110352.33443771985</v>
      </c>
      <c r="AV27" s="298">
        <v>283752.97185284394</v>
      </c>
      <c r="AW27" s="298">
        <v>283752.97185284394</v>
      </c>
      <c r="AX27" s="298">
        <v>283752.97185284394</v>
      </c>
      <c r="AY27" s="302">
        <f t="shared" si="10"/>
        <v>0.80802475984671418</v>
      </c>
      <c r="AZ27" s="302">
        <f t="shared" si="11"/>
        <v>0.80802475984671418</v>
      </c>
      <c r="BA27" s="302">
        <f t="shared" si="12"/>
        <v>0.80802475984671418</v>
      </c>
      <c r="BB27" s="34"/>
      <c r="BC27" s="34"/>
      <c r="BD27" s="34"/>
      <c r="BE27" t="s">
        <v>60</v>
      </c>
      <c r="BF27" s="299">
        <v>351168.65961715468</v>
      </c>
    </row>
    <row r="28" spans="1:58" ht="14.25" customHeight="1">
      <c r="A28" s="2" t="s">
        <v>23</v>
      </c>
      <c r="B28" s="374" t="s">
        <v>234</v>
      </c>
      <c r="C28" s="357"/>
      <c r="D28" s="357"/>
      <c r="E28" s="357"/>
      <c r="F28" s="357"/>
      <c r="G28" s="357"/>
      <c r="H28" s="357"/>
      <c r="I28" s="357"/>
      <c r="J28" s="357"/>
      <c r="K28" s="357"/>
      <c r="L28" s="358"/>
      <c r="M28" s="375" t="s">
        <v>236</v>
      </c>
      <c r="N28" s="357"/>
      <c r="O28" s="357"/>
      <c r="P28" s="357"/>
      <c r="Q28" s="357"/>
      <c r="R28" s="357"/>
      <c r="S28" s="358"/>
      <c r="T28" s="376" t="s">
        <v>237</v>
      </c>
      <c r="U28" s="378" t="s">
        <v>238</v>
      </c>
      <c r="V28" s="379"/>
      <c r="W28" s="379"/>
      <c r="X28" s="379"/>
      <c r="Y28" s="379"/>
      <c r="Z28" s="379"/>
      <c r="AA28" s="379"/>
      <c r="AB28" s="380"/>
      <c r="AC28" s="391" t="s">
        <v>240</v>
      </c>
      <c r="AD28" s="392" t="s">
        <v>241</v>
      </c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21">
        <v>43100</v>
      </c>
      <c r="AT28" s="298">
        <v>173018.74963057603</v>
      </c>
      <c r="AU28" s="298">
        <v>111901.11754141106</v>
      </c>
      <c r="AV28" s="298">
        <v>284919.86717198708</v>
      </c>
      <c r="AW28" s="298">
        <v>284919.86717198708</v>
      </c>
      <c r="AX28" s="298">
        <v>284919.86717198708</v>
      </c>
      <c r="AY28" s="302">
        <f t="shared" si="10"/>
        <v>0.77756427697330743</v>
      </c>
      <c r="AZ28" s="302">
        <f t="shared" si="11"/>
        <v>0.77756427697330743</v>
      </c>
      <c r="BA28" s="302">
        <f t="shared" si="12"/>
        <v>0.77756427697330743</v>
      </c>
      <c r="BB28" s="34"/>
      <c r="BC28" s="34"/>
      <c r="BD28" s="34"/>
      <c r="BE28" t="s">
        <v>61</v>
      </c>
      <c r="BF28" s="299">
        <v>366426.12785793905</v>
      </c>
    </row>
    <row r="29" spans="1:58" ht="14.25" customHeight="1">
      <c r="A29" s="2" t="s">
        <v>25</v>
      </c>
      <c r="B29" s="386" t="s">
        <v>242</v>
      </c>
      <c r="C29" s="357"/>
      <c r="D29" s="358"/>
      <c r="E29" s="389" t="s">
        <v>243</v>
      </c>
      <c r="F29" s="357"/>
      <c r="G29" s="357"/>
      <c r="H29" s="358"/>
      <c r="I29" s="390" t="s">
        <v>244</v>
      </c>
      <c r="J29" s="357"/>
      <c r="K29" s="358"/>
      <c r="L29" s="136" t="s">
        <v>245</v>
      </c>
      <c r="M29" s="137" t="s">
        <v>247</v>
      </c>
      <c r="N29" s="137" t="s">
        <v>248</v>
      </c>
      <c r="O29" s="138" t="s">
        <v>249</v>
      </c>
      <c r="P29" s="138" t="s">
        <v>249</v>
      </c>
      <c r="Q29" s="137" t="s">
        <v>250</v>
      </c>
      <c r="R29" s="137" t="s">
        <v>251</v>
      </c>
      <c r="S29" s="137" t="s">
        <v>252</v>
      </c>
      <c r="T29" s="377"/>
      <c r="U29" s="381"/>
      <c r="V29" s="369"/>
      <c r="W29" s="369"/>
      <c r="X29" s="369"/>
      <c r="Y29" s="369"/>
      <c r="Z29" s="369"/>
      <c r="AA29" s="369"/>
      <c r="AB29" s="382"/>
      <c r="AC29" s="377"/>
      <c r="AD29" s="377"/>
      <c r="AE29" s="137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21">
        <v>43465</v>
      </c>
      <c r="AT29" s="298">
        <v>181337.62511851997</v>
      </c>
      <c r="AU29" s="298">
        <v>104800.34992319411</v>
      </c>
      <c r="AV29" s="298">
        <v>286137.97504171403</v>
      </c>
      <c r="AW29" s="298">
        <v>286137.97504171403</v>
      </c>
      <c r="AX29" s="298">
        <v>286137.97504171403</v>
      </c>
      <c r="AY29" s="302">
        <f t="shared" si="10"/>
        <v>0.7478310245949783</v>
      </c>
      <c r="AZ29" s="302">
        <f t="shared" si="11"/>
        <v>0.7478310245949783</v>
      </c>
      <c r="BA29" s="302">
        <f t="shared" si="12"/>
        <v>0.7478310245949783</v>
      </c>
      <c r="BB29" s="34"/>
      <c r="BC29" s="34"/>
      <c r="BD29" s="34"/>
      <c r="BE29" s="301" t="s">
        <v>925</v>
      </c>
      <c r="BF29" s="299">
        <v>382623.83564079198</v>
      </c>
    </row>
    <row r="30" spans="1:58" ht="14.25" customHeight="1">
      <c r="A30" s="21" t="s">
        <v>26</v>
      </c>
      <c r="B30" s="137" t="s">
        <v>253</v>
      </c>
      <c r="C30" s="137" t="s">
        <v>254</v>
      </c>
      <c r="D30" s="139" t="s">
        <v>242</v>
      </c>
      <c r="E30" s="387" t="s">
        <v>258</v>
      </c>
      <c r="F30" s="357"/>
      <c r="G30" s="358"/>
      <c r="H30" s="137" t="s">
        <v>259</v>
      </c>
      <c r="I30" s="137" t="s">
        <v>260</v>
      </c>
      <c r="J30" s="137" t="s">
        <v>261</v>
      </c>
      <c r="K30" s="140" t="s">
        <v>244</v>
      </c>
      <c r="L30" s="137" t="s">
        <v>262</v>
      </c>
      <c r="M30" s="137" t="s">
        <v>263</v>
      </c>
      <c r="N30" s="137" t="s">
        <v>248</v>
      </c>
      <c r="O30" s="137" t="s">
        <v>264</v>
      </c>
      <c r="P30" s="137" t="s">
        <v>265</v>
      </c>
      <c r="Q30" s="137" t="s">
        <v>250</v>
      </c>
      <c r="R30" s="137" t="s">
        <v>266</v>
      </c>
      <c r="S30" s="137" t="s">
        <v>252</v>
      </c>
      <c r="T30" s="377"/>
      <c r="U30" s="383"/>
      <c r="V30" s="384"/>
      <c r="W30" s="384"/>
      <c r="X30" s="384"/>
      <c r="Y30" s="384"/>
      <c r="Z30" s="384"/>
      <c r="AA30" s="384"/>
      <c r="AB30" s="385"/>
      <c r="AC30" s="377"/>
      <c r="AD30" s="377"/>
      <c r="AE30" s="141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21">
        <v>43830</v>
      </c>
      <c r="AT30" s="298">
        <v>197196.64605183646</v>
      </c>
      <c r="AU30" s="298">
        <v>95823.250647858076</v>
      </c>
      <c r="AV30" s="298">
        <v>293019.89669969457</v>
      </c>
      <c r="AW30" s="298">
        <v>293019.89669969457</v>
      </c>
      <c r="AX30" s="298">
        <v>293019.89669969457</v>
      </c>
      <c r="AY30" s="292">
        <f>AV30/SUM(bdp!AR105:AR108)</f>
        <v>0.73236187936383745</v>
      </c>
      <c r="AZ30" s="302">
        <f>AW30/SUM(bdp!AU105:AU108)</f>
        <v>0.73236187936383745</v>
      </c>
      <c r="BA30" s="302">
        <f>AX30/SUM(bdp!AX105:AX108)</f>
        <v>0.73236187936383745</v>
      </c>
      <c r="BB30" s="34"/>
      <c r="BC30" s="34"/>
      <c r="BD30" s="34"/>
    </row>
    <row r="31" spans="1:58" ht="14.25" customHeight="1">
      <c r="A31" s="21"/>
      <c r="B31" s="137"/>
      <c r="C31" s="137"/>
      <c r="D31" s="139" t="s">
        <v>242</v>
      </c>
      <c r="E31" s="137" t="s">
        <v>268</v>
      </c>
      <c r="F31" s="137" t="s">
        <v>269</v>
      </c>
      <c r="G31" s="137" t="s">
        <v>270</v>
      </c>
      <c r="H31" s="137" t="s">
        <v>259</v>
      </c>
      <c r="I31" s="137" t="s">
        <v>260</v>
      </c>
      <c r="J31" s="137" t="s">
        <v>261</v>
      </c>
      <c r="K31" s="140" t="s">
        <v>244</v>
      </c>
      <c r="L31" s="137" t="s">
        <v>262</v>
      </c>
      <c r="M31" s="137" t="s">
        <v>263</v>
      </c>
      <c r="N31" s="137" t="s">
        <v>248</v>
      </c>
      <c r="O31" s="137" t="s">
        <v>264</v>
      </c>
      <c r="P31" s="137" t="s">
        <v>265</v>
      </c>
      <c r="Q31" s="137" t="s">
        <v>250</v>
      </c>
      <c r="R31" s="137" t="s">
        <v>266</v>
      </c>
      <c r="S31" s="137" t="s">
        <v>252</v>
      </c>
      <c r="T31" s="363"/>
      <c r="U31" s="137" t="s">
        <v>247</v>
      </c>
      <c r="V31" s="137" t="s">
        <v>271</v>
      </c>
      <c r="W31" s="137" t="s">
        <v>272</v>
      </c>
      <c r="X31" s="137" t="s">
        <v>273</v>
      </c>
      <c r="Y31" s="137" t="s">
        <v>248</v>
      </c>
      <c r="Z31" s="137" t="s">
        <v>249</v>
      </c>
      <c r="AA31" s="137" t="s">
        <v>274</v>
      </c>
      <c r="AB31" s="137" t="s">
        <v>275</v>
      </c>
      <c r="AC31" s="363"/>
      <c r="AD31" s="363"/>
      <c r="AE31" s="143" t="s">
        <v>276</v>
      </c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21">
        <v>44196</v>
      </c>
      <c r="AT31" s="298"/>
      <c r="AU31" s="298"/>
      <c r="AV31" s="298">
        <f>AV30-AD24</f>
        <v>333738.28571180382</v>
      </c>
      <c r="AW31" s="298">
        <f>AW30-AD50</f>
        <v>331171.12300001498</v>
      </c>
      <c r="AX31" s="298">
        <f>AX30-AD76</f>
        <v>328100.91522605403</v>
      </c>
      <c r="AY31" s="303">
        <f>AV31/SUM(bdp!AR109:AR112)</f>
        <v>1.0854650153966672</v>
      </c>
      <c r="AZ31" s="303">
        <f>AW31/SUM(bdp!AU109:AU112)</f>
        <v>1.0426800683475306</v>
      </c>
      <c r="BA31" s="303">
        <f>AX31/SUM(bdp!AX109:AX112)</f>
        <v>0.99367301107560757</v>
      </c>
      <c r="BB31" s="34"/>
      <c r="BC31" s="34"/>
      <c r="BD31" s="34"/>
    </row>
    <row r="32" spans="1:58" ht="14.25" customHeight="1">
      <c r="A32" s="21">
        <v>37621</v>
      </c>
      <c r="B32" s="31">
        <v>39417.599999999999</v>
      </c>
      <c r="C32" s="31">
        <v>1917.1</v>
      </c>
      <c r="D32" s="148">
        <f t="shared" ref="D32:D49" si="17">B32+C32</f>
        <v>41334.699999999997</v>
      </c>
      <c r="E32" s="31">
        <v>8030.2</v>
      </c>
      <c r="F32" s="31">
        <v>3843.4</v>
      </c>
      <c r="G32" s="31">
        <v>0</v>
      </c>
      <c r="H32" s="31">
        <v>1193.9000000000001</v>
      </c>
      <c r="I32" s="31">
        <v>13164.6</v>
      </c>
      <c r="J32" s="31">
        <v>12035.5</v>
      </c>
      <c r="K32" s="148">
        <f t="shared" ref="K32:K48" si="18">I32+J32</f>
        <v>25200.1</v>
      </c>
      <c r="L32" s="31">
        <v>1.9</v>
      </c>
      <c r="M32" s="31">
        <v>1479.9</v>
      </c>
      <c r="N32" s="31">
        <v>7317.3</v>
      </c>
      <c r="O32" s="31">
        <v>579.79999999999995</v>
      </c>
      <c r="P32" s="31">
        <v>2100.9</v>
      </c>
      <c r="Q32" s="31">
        <v>0</v>
      </c>
      <c r="R32" s="31">
        <v>9044.6</v>
      </c>
      <c r="S32" s="31">
        <v>0</v>
      </c>
      <c r="T32" s="149">
        <f t="shared" ref="T32:T50" si="19">SUM(K32:S32,D32:H32)</f>
        <v>100126.7</v>
      </c>
      <c r="U32" s="31">
        <v>5268.2</v>
      </c>
      <c r="V32" s="31">
        <v>25388.3</v>
      </c>
      <c r="W32" s="31">
        <v>11745.8</v>
      </c>
      <c r="X32" s="31">
        <v>16633</v>
      </c>
      <c r="Y32" s="31">
        <v>2142.5</v>
      </c>
      <c r="Z32" s="31">
        <v>3498.1</v>
      </c>
      <c r="AA32" s="31">
        <v>37779.4</v>
      </c>
      <c r="AB32" s="31">
        <v>4615.5</v>
      </c>
      <c r="AC32" s="150">
        <f t="shared" ref="AC32:AC50" si="20">SUM(U32:AB32)</f>
        <v>107070.8</v>
      </c>
      <c r="AD32" s="151">
        <f t="shared" ref="AD32:AD50" si="21">T32-AC32</f>
        <v>-6944.1000000000058</v>
      </c>
      <c r="AE32" s="152">
        <f t="shared" ref="AE32:AE50" si="22">AD32/(C98+D98)</f>
        <v>-3.2897096359012952E-2</v>
      </c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02"/>
      <c r="AZ32" s="302"/>
      <c r="BA32" s="302"/>
      <c r="BB32" s="34"/>
      <c r="BC32" s="34"/>
      <c r="BD32" s="34"/>
    </row>
    <row r="33" spans="1:56" ht="14.25" customHeight="1">
      <c r="A33" s="21">
        <v>37986</v>
      </c>
      <c r="B33" s="31">
        <v>42404.4</v>
      </c>
      <c r="C33" s="31">
        <v>2074.4</v>
      </c>
      <c r="D33" s="148">
        <f t="shared" si="17"/>
        <v>44478.8</v>
      </c>
      <c r="E33" s="31">
        <v>8440</v>
      </c>
      <c r="F33" s="31">
        <v>4491.8999999999996</v>
      </c>
      <c r="G33" s="31">
        <v>0</v>
      </c>
      <c r="H33" s="31">
        <v>1436.4</v>
      </c>
      <c r="I33" s="31">
        <v>14326.7</v>
      </c>
      <c r="J33" s="31">
        <v>13097.9</v>
      </c>
      <c r="K33" s="148">
        <f t="shared" si="18"/>
        <v>27424.6</v>
      </c>
      <c r="L33" s="31">
        <v>1.9</v>
      </c>
      <c r="M33" s="31">
        <v>1192.9000000000001</v>
      </c>
      <c r="N33" s="31">
        <v>6028.5</v>
      </c>
      <c r="O33" s="31">
        <v>752.1</v>
      </c>
      <c r="P33" s="31">
        <v>2293.4</v>
      </c>
      <c r="Q33" s="31">
        <v>0</v>
      </c>
      <c r="R33" s="31">
        <v>9338.4</v>
      </c>
      <c r="S33" s="31">
        <v>0</v>
      </c>
      <c r="T33" s="149">
        <f t="shared" si="19"/>
        <v>105878.9</v>
      </c>
      <c r="U33" s="31">
        <v>4953.8</v>
      </c>
      <c r="V33" s="31">
        <v>27265.8</v>
      </c>
      <c r="W33" s="31">
        <v>17123.3</v>
      </c>
      <c r="X33" s="31">
        <v>16853.2</v>
      </c>
      <c r="Y33" s="31">
        <v>6018.2</v>
      </c>
      <c r="Z33" s="31">
        <v>3901</v>
      </c>
      <c r="AA33" s="31">
        <v>35345.199999999997</v>
      </c>
      <c r="AB33" s="31">
        <v>4932.3999999999996</v>
      </c>
      <c r="AC33" s="150">
        <f t="shared" si="20"/>
        <v>116392.89999999998</v>
      </c>
      <c r="AD33" s="151">
        <f t="shared" si="21"/>
        <v>-10513.999999999985</v>
      </c>
      <c r="AE33" s="152">
        <f t="shared" si="22"/>
        <v>-4.5207287035546509E-2</v>
      </c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</row>
    <row r="34" spans="1:56" ht="14.25" customHeight="1">
      <c r="A34" s="21">
        <v>38352</v>
      </c>
      <c r="B34" s="31">
        <v>44086.8</v>
      </c>
      <c r="C34" s="31">
        <v>2352.9</v>
      </c>
      <c r="D34" s="148">
        <f t="shared" si="17"/>
        <v>46439.700000000004</v>
      </c>
      <c r="E34" s="31">
        <v>9258.6</v>
      </c>
      <c r="F34" s="31">
        <v>4587.7</v>
      </c>
      <c r="G34" s="31">
        <v>0</v>
      </c>
      <c r="H34" s="31">
        <v>1554.4</v>
      </c>
      <c r="I34" s="31">
        <v>15737.7</v>
      </c>
      <c r="J34" s="31">
        <v>13739.9</v>
      </c>
      <c r="K34" s="148">
        <f t="shared" si="18"/>
        <v>29477.599999999999</v>
      </c>
      <c r="L34" s="31">
        <v>2.2999999999999998</v>
      </c>
      <c r="M34" s="31">
        <v>54.5</v>
      </c>
      <c r="N34" s="31">
        <v>5713</v>
      </c>
      <c r="O34" s="31">
        <v>903.2</v>
      </c>
      <c r="P34" s="31">
        <v>2382.5</v>
      </c>
      <c r="Q34" s="31">
        <v>0</v>
      </c>
      <c r="R34" s="31">
        <v>9731.1</v>
      </c>
      <c r="S34" s="31">
        <v>0</v>
      </c>
      <c r="T34" s="149">
        <f t="shared" si="19"/>
        <v>110104.59999999999</v>
      </c>
      <c r="U34" s="31">
        <v>6349.2</v>
      </c>
      <c r="V34" s="31">
        <v>29456.7</v>
      </c>
      <c r="W34" s="31">
        <v>16498</v>
      </c>
      <c r="X34" s="31">
        <v>17203.599999999999</v>
      </c>
      <c r="Y34" s="31">
        <v>3345.7</v>
      </c>
      <c r="Z34" s="31">
        <v>4462.2</v>
      </c>
      <c r="AA34" s="31">
        <v>39424.1</v>
      </c>
      <c r="AB34" s="31">
        <v>5830.7</v>
      </c>
      <c r="AC34" s="150">
        <f t="shared" si="20"/>
        <v>122570.2</v>
      </c>
      <c r="AD34" s="151">
        <f t="shared" si="21"/>
        <v>-12465.600000000006</v>
      </c>
      <c r="AE34" s="152">
        <f t="shared" si="22"/>
        <v>-4.9665070740932155E-2</v>
      </c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</row>
    <row r="35" spans="1:56" ht="14.25" customHeight="1">
      <c r="A35" s="21">
        <v>38717</v>
      </c>
      <c r="B35" s="31">
        <v>47049.1</v>
      </c>
      <c r="C35" s="31">
        <v>2362.3000000000002</v>
      </c>
      <c r="D35" s="148">
        <f t="shared" si="17"/>
        <v>49411.4</v>
      </c>
      <c r="E35" s="31">
        <v>9371.2999999999993</v>
      </c>
      <c r="F35" s="31">
        <v>6168.9</v>
      </c>
      <c r="G35" s="31">
        <v>0</v>
      </c>
      <c r="H35" s="31">
        <v>1668.8</v>
      </c>
      <c r="I35" s="31">
        <v>16695.5</v>
      </c>
      <c r="J35" s="31">
        <v>14605.8</v>
      </c>
      <c r="K35" s="148">
        <f t="shared" si="18"/>
        <v>31301.3</v>
      </c>
      <c r="L35" s="31">
        <v>2.4</v>
      </c>
      <c r="M35" s="31">
        <v>74.5</v>
      </c>
      <c r="N35" s="31">
        <v>5282.1</v>
      </c>
      <c r="O35" s="31">
        <v>1021.4</v>
      </c>
      <c r="P35" s="31">
        <v>2478.5</v>
      </c>
      <c r="Q35" s="31">
        <v>0</v>
      </c>
      <c r="R35" s="31">
        <v>10022.799999999999</v>
      </c>
      <c r="S35" s="31">
        <v>0</v>
      </c>
      <c r="T35" s="149">
        <f t="shared" si="19"/>
        <v>116803.4</v>
      </c>
      <c r="U35" s="31">
        <v>4883.1000000000004</v>
      </c>
      <c r="V35" s="31">
        <v>30427.8</v>
      </c>
      <c r="W35" s="31">
        <v>15504.7</v>
      </c>
      <c r="X35" s="31">
        <v>19086.5</v>
      </c>
      <c r="Y35" s="31">
        <v>6185.2</v>
      </c>
      <c r="Z35" s="31">
        <v>4831.2</v>
      </c>
      <c r="AA35" s="31">
        <v>39514.300000000003</v>
      </c>
      <c r="AB35" s="31">
        <v>6267.9</v>
      </c>
      <c r="AC35" s="150">
        <f t="shared" si="20"/>
        <v>126700.7</v>
      </c>
      <c r="AD35" s="151">
        <f t="shared" si="21"/>
        <v>-9897.3000000000029</v>
      </c>
      <c r="AE35" s="152">
        <f t="shared" si="22"/>
        <v>-3.6654660509326496E-2</v>
      </c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</row>
    <row r="36" spans="1:56" ht="14.25" customHeight="1">
      <c r="A36" s="21">
        <v>39082</v>
      </c>
      <c r="B36" s="31">
        <v>51273.7</v>
      </c>
      <c r="C36" s="31">
        <v>2576.6</v>
      </c>
      <c r="D36" s="148">
        <f t="shared" si="17"/>
        <v>53850.299999999996</v>
      </c>
      <c r="E36" s="31">
        <v>10606.9</v>
      </c>
      <c r="F36" s="31">
        <v>8304.6</v>
      </c>
      <c r="G36" s="31">
        <v>0</v>
      </c>
      <c r="H36" s="31">
        <v>1757.7</v>
      </c>
      <c r="I36" s="31">
        <v>18051.400000000001</v>
      </c>
      <c r="J36" s="31">
        <v>15825.8</v>
      </c>
      <c r="K36" s="148">
        <f t="shared" si="18"/>
        <v>33877.199999999997</v>
      </c>
      <c r="L36" s="31">
        <v>2</v>
      </c>
      <c r="M36" s="31">
        <v>166.4</v>
      </c>
      <c r="N36" s="31">
        <v>5105.3</v>
      </c>
      <c r="O36" s="31">
        <v>1132.2</v>
      </c>
      <c r="P36" s="31">
        <v>2573.6999999999998</v>
      </c>
      <c r="Q36" s="31">
        <v>0</v>
      </c>
      <c r="R36" s="31">
        <v>10319.299999999999</v>
      </c>
      <c r="S36" s="31">
        <v>0</v>
      </c>
      <c r="T36" s="149">
        <f t="shared" si="19"/>
        <v>127695.59999999999</v>
      </c>
      <c r="U36" s="31">
        <v>4328.7</v>
      </c>
      <c r="V36" s="31">
        <v>32220.400000000001</v>
      </c>
      <c r="W36" s="31">
        <v>16903</v>
      </c>
      <c r="X36" s="31">
        <v>21166.1</v>
      </c>
      <c r="Y36" s="31">
        <v>5583.2</v>
      </c>
      <c r="Z36" s="31">
        <v>4866.5</v>
      </c>
      <c r="AA36" s="31">
        <v>45143.8</v>
      </c>
      <c r="AB36" s="31">
        <v>6706.9</v>
      </c>
      <c r="AC36" s="150">
        <f t="shared" si="20"/>
        <v>136918.6</v>
      </c>
      <c r="AD36" s="151">
        <f t="shared" si="21"/>
        <v>-9223.0000000000146</v>
      </c>
      <c r="AE36" s="152">
        <f t="shared" si="22"/>
        <v>-3.13233528765521E-2</v>
      </c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 t="s">
        <v>9</v>
      </c>
      <c r="AT36" s="34" t="s">
        <v>965</v>
      </c>
      <c r="AU36" s="34" t="s">
        <v>966</v>
      </c>
      <c r="AV36" s="34" t="s">
        <v>967</v>
      </c>
      <c r="AW36" s="34"/>
      <c r="AX36" s="34"/>
      <c r="AY36" s="34"/>
      <c r="AZ36" s="34"/>
      <c r="BA36" s="34"/>
      <c r="BB36" s="34"/>
      <c r="BC36" s="34"/>
      <c r="BD36" s="34"/>
    </row>
    <row r="37" spans="1:56" ht="14.25" customHeight="1">
      <c r="A37" s="21">
        <v>39447</v>
      </c>
      <c r="B37" s="31">
        <v>55095.9</v>
      </c>
      <c r="C37" s="31">
        <v>2957.1</v>
      </c>
      <c r="D37" s="148">
        <f t="shared" si="17"/>
        <v>58053</v>
      </c>
      <c r="E37" s="31">
        <v>12547.5</v>
      </c>
      <c r="F37" s="31">
        <v>9862.1</v>
      </c>
      <c r="G37" s="31">
        <v>0</v>
      </c>
      <c r="H37" s="31">
        <v>1856.1</v>
      </c>
      <c r="I37" s="31">
        <v>19845.5</v>
      </c>
      <c r="J37" s="31">
        <v>17358</v>
      </c>
      <c r="K37" s="148">
        <f t="shared" si="18"/>
        <v>37203.5</v>
      </c>
      <c r="L37" s="31">
        <v>2.2000000000000002</v>
      </c>
      <c r="M37" s="31">
        <v>240.5</v>
      </c>
      <c r="N37" s="31">
        <v>5715.2</v>
      </c>
      <c r="O37" s="31">
        <v>1289.7</v>
      </c>
      <c r="P37" s="31">
        <v>2617.5</v>
      </c>
      <c r="Q37" s="31">
        <v>0</v>
      </c>
      <c r="R37" s="31">
        <v>10514.9</v>
      </c>
      <c r="S37" s="31">
        <v>0</v>
      </c>
      <c r="T37" s="149">
        <f t="shared" si="19"/>
        <v>139902.20000000001</v>
      </c>
      <c r="U37" s="31">
        <v>4216.7</v>
      </c>
      <c r="V37" s="31">
        <v>36599.599999999999</v>
      </c>
      <c r="W37" s="31">
        <v>20009.7</v>
      </c>
      <c r="X37" s="31">
        <v>23151.5</v>
      </c>
      <c r="Y37" s="31">
        <v>2827.9</v>
      </c>
      <c r="Z37" s="31">
        <v>5368.4</v>
      </c>
      <c r="AA37" s="31">
        <v>47138.7</v>
      </c>
      <c r="AB37" s="31">
        <v>7786.2</v>
      </c>
      <c r="AC37" s="150">
        <f t="shared" si="20"/>
        <v>147098.70000000001</v>
      </c>
      <c r="AD37" s="151">
        <f t="shared" si="21"/>
        <v>-7196.5</v>
      </c>
      <c r="AE37" s="152">
        <f t="shared" si="22"/>
        <v>-2.2294595711018328E-2</v>
      </c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21">
        <v>37621</v>
      </c>
      <c r="AT37" s="304">
        <f>AV13-AV12</f>
        <v>6691.5592977695342</v>
      </c>
      <c r="AU37" s="31">
        <f>-AD6</f>
        <v>6944.1000000000058</v>
      </c>
      <c r="AV37" s="304">
        <f>AT37-AU37</f>
        <v>-252.54070223047165</v>
      </c>
      <c r="AW37" s="34"/>
      <c r="AX37" s="34"/>
      <c r="AY37" s="34"/>
      <c r="AZ37" s="34"/>
      <c r="BA37" s="34"/>
      <c r="BB37" s="34"/>
      <c r="BC37" s="34"/>
      <c r="BD37" s="34"/>
    </row>
    <row r="38" spans="1:56" ht="14.25" customHeight="1">
      <c r="A38" s="21">
        <v>39813</v>
      </c>
      <c r="B38" s="31">
        <v>58485.1</v>
      </c>
      <c r="C38" s="31">
        <v>3303.6</v>
      </c>
      <c r="D38" s="148">
        <f t="shared" si="17"/>
        <v>61788.7</v>
      </c>
      <c r="E38" s="31">
        <v>13360.3</v>
      </c>
      <c r="F38" s="31">
        <v>10062.200000000001</v>
      </c>
      <c r="G38" s="31">
        <v>0</v>
      </c>
      <c r="H38" s="31">
        <v>1973.5</v>
      </c>
      <c r="I38" s="31">
        <v>21758.1</v>
      </c>
      <c r="J38" s="31">
        <v>18945.400000000001</v>
      </c>
      <c r="K38" s="148">
        <f t="shared" si="18"/>
        <v>40703.5</v>
      </c>
      <c r="L38" s="31">
        <v>2.6</v>
      </c>
      <c r="M38" s="31">
        <v>255.4</v>
      </c>
      <c r="N38" s="31">
        <v>4744.2</v>
      </c>
      <c r="O38" s="31">
        <v>1195.8</v>
      </c>
      <c r="P38" s="31">
        <v>2759.9</v>
      </c>
      <c r="Q38" s="31">
        <v>0</v>
      </c>
      <c r="R38" s="31">
        <v>12328.6</v>
      </c>
      <c r="S38" s="31">
        <v>0</v>
      </c>
      <c r="T38" s="149">
        <f t="shared" si="19"/>
        <v>149174.70000000001</v>
      </c>
      <c r="U38" s="31">
        <v>5119.7</v>
      </c>
      <c r="V38" s="31">
        <v>38903</v>
      </c>
      <c r="W38" s="31">
        <v>21416.400000000001</v>
      </c>
      <c r="X38" s="31">
        <v>25277.8</v>
      </c>
      <c r="Y38" s="31">
        <v>4881.8</v>
      </c>
      <c r="Z38" s="31">
        <v>6206.6</v>
      </c>
      <c r="AA38" s="31">
        <v>48699.3</v>
      </c>
      <c r="AB38" s="31">
        <v>8461.1</v>
      </c>
      <c r="AC38" s="150">
        <f t="shared" si="20"/>
        <v>158965.70000000001</v>
      </c>
      <c r="AD38" s="151">
        <f t="shared" si="21"/>
        <v>-9791</v>
      </c>
      <c r="AE38" s="152">
        <f t="shared" si="22"/>
        <v>-2.8237694661230842E-2</v>
      </c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21">
        <v>37986</v>
      </c>
      <c r="AT38" s="304">
        <f t="shared" ref="AT38:AT54" si="23">AV14-AV13</f>
        <v>11119.142676079136</v>
      </c>
      <c r="AU38" s="31">
        <f t="shared" ref="AU38:AU54" si="24">-AD7</f>
        <v>10513.999999999985</v>
      </c>
      <c r="AV38" s="304">
        <f t="shared" ref="AV38:AV54" si="25">AT38-AU38</f>
        <v>605.14267607915099</v>
      </c>
      <c r="AW38" s="34"/>
      <c r="AX38" s="34"/>
      <c r="AY38" s="34"/>
      <c r="AZ38" s="34"/>
      <c r="BA38" s="34"/>
      <c r="BB38" s="34"/>
      <c r="BC38" s="34"/>
      <c r="BD38" s="34"/>
    </row>
    <row r="39" spans="1:56" ht="14.25" customHeight="1">
      <c r="A39" s="21">
        <v>40178</v>
      </c>
      <c r="B39" s="31">
        <v>52842.3</v>
      </c>
      <c r="C39" s="31">
        <v>3311.1</v>
      </c>
      <c r="D39" s="148">
        <f t="shared" si="17"/>
        <v>56153.4</v>
      </c>
      <c r="E39" s="31">
        <v>12804</v>
      </c>
      <c r="F39" s="31">
        <v>8459</v>
      </c>
      <c r="G39" s="31">
        <v>1057.4000000000001</v>
      </c>
      <c r="H39" s="31">
        <v>2021.7</v>
      </c>
      <c r="I39" s="31">
        <v>21374</v>
      </c>
      <c r="J39" s="31">
        <v>18620.8</v>
      </c>
      <c r="K39" s="148">
        <f t="shared" si="18"/>
        <v>39994.800000000003</v>
      </c>
      <c r="L39" s="31">
        <v>4.2</v>
      </c>
      <c r="M39" s="31">
        <v>434.1</v>
      </c>
      <c r="N39" s="31">
        <v>4799.7</v>
      </c>
      <c r="O39" s="31">
        <v>1292.5</v>
      </c>
      <c r="P39" s="31">
        <v>2629.4</v>
      </c>
      <c r="Q39" s="31">
        <v>0</v>
      </c>
      <c r="R39" s="31">
        <v>12013.7</v>
      </c>
      <c r="S39" s="31">
        <v>0</v>
      </c>
      <c r="T39" s="149">
        <f t="shared" si="19"/>
        <v>141663.9</v>
      </c>
      <c r="U39" s="31">
        <v>4696.8</v>
      </c>
      <c r="V39" s="31">
        <v>40880.800000000003</v>
      </c>
      <c r="W39" s="31">
        <v>20005.3</v>
      </c>
      <c r="X39" s="31">
        <v>24408.5</v>
      </c>
      <c r="Y39" s="31">
        <v>3659.6</v>
      </c>
      <c r="Z39" s="31">
        <v>7341.9</v>
      </c>
      <c r="AA39" s="31">
        <v>52616</v>
      </c>
      <c r="AB39" s="31">
        <v>8060.6</v>
      </c>
      <c r="AC39" s="150">
        <f t="shared" si="20"/>
        <v>161669.50000000003</v>
      </c>
      <c r="AD39" s="151">
        <f t="shared" si="21"/>
        <v>-20005.600000000035</v>
      </c>
      <c r="AE39" s="152">
        <f t="shared" si="22"/>
        <v>-6.0481819118848534E-2</v>
      </c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21">
        <v>38352</v>
      </c>
      <c r="AT39" s="304">
        <f t="shared" si="23"/>
        <v>12379.404531050503</v>
      </c>
      <c r="AU39" s="31">
        <f t="shared" si="24"/>
        <v>12465.600000000006</v>
      </c>
      <c r="AV39" s="304">
        <f t="shared" si="25"/>
        <v>-86.195468949503265</v>
      </c>
      <c r="AW39" s="34"/>
      <c r="AX39" s="34"/>
      <c r="AY39" s="34"/>
      <c r="AZ39" s="34"/>
      <c r="BA39" s="34"/>
      <c r="BB39" s="34"/>
      <c r="BC39" s="34"/>
      <c r="BD39" s="34"/>
    </row>
    <row r="40" spans="1:56" ht="14.25" customHeight="1">
      <c r="A40" s="21">
        <v>40543</v>
      </c>
      <c r="B40" s="31">
        <v>54344.800000000003</v>
      </c>
      <c r="C40" s="31">
        <v>3476.4</v>
      </c>
      <c r="D40" s="148">
        <f t="shared" si="17"/>
        <v>57821.200000000004</v>
      </c>
      <c r="E40" s="31">
        <v>11373.4</v>
      </c>
      <c r="F40" s="31">
        <v>6346.7</v>
      </c>
      <c r="G40" s="31">
        <v>1902.5</v>
      </c>
      <c r="H40" s="31">
        <v>2083</v>
      </c>
      <c r="I40" s="31">
        <v>20783.599999999999</v>
      </c>
      <c r="J40" s="31">
        <v>17928.8</v>
      </c>
      <c r="K40" s="148">
        <f t="shared" si="18"/>
        <v>38712.399999999994</v>
      </c>
      <c r="L40" s="31">
        <v>3.2</v>
      </c>
      <c r="M40" s="31">
        <v>925.3</v>
      </c>
      <c r="N40" s="31">
        <v>3434.7</v>
      </c>
      <c r="O40" s="31">
        <v>1210.4000000000001</v>
      </c>
      <c r="P40" s="31">
        <v>2357.5</v>
      </c>
      <c r="Q40" s="31">
        <v>0</v>
      </c>
      <c r="R40" s="31">
        <v>12196.3</v>
      </c>
      <c r="S40" s="31">
        <v>0</v>
      </c>
      <c r="T40" s="149">
        <f t="shared" si="19"/>
        <v>138366.6</v>
      </c>
      <c r="U40" s="31">
        <v>8518.7999999999993</v>
      </c>
      <c r="V40" s="31">
        <v>40110.1</v>
      </c>
      <c r="W40" s="31">
        <v>12790.6</v>
      </c>
      <c r="X40" s="31">
        <v>24987.5</v>
      </c>
      <c r="Y40" s="31">
        <v>5839.7</v>
      </c>
      <c r="Z40" s="31">
        <v>7860.2</v>
      </c>
      <c r="AA40" s="31">
        <v>52126.1</v>
      </c>
      <c r="AB40" s="31">
        <v>7393.6</v>
      </c>
      <c r="AC40" s="150">
        <f t="shared" si="20"/>
        <v>159626.6</v>
      </c>
      <c r="AD40" s="151">
        <f t="shared" si="21"/>
        <v>-21260</v>
      </c>
      <c r="AE40" s="152">
        <f t="shared" si="22"/>
        <v>-6.4654585855040192E-2</v>
      </c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21">
        <v>38717</v>
      </c>
      <c r="AT40" s="304">
        <f t="shared" si="23"/>
        <v>10232.286965108826</v>
      </c>
      <c r="AU40" s="31">
        <f t="shared" si="24"/>
        <v>9897.3000000000029</v>
      </c>
      <c r="AV40" s="304">
        <f t="shared" si="25"/>
        <v>334.98696510882291</v>
      </c>
      <c r="AW40" s="34"/>
      <c r="AX40" s="34"/>
      <c r="AY40" s="34"/>
      <c r="AZ40" s="34"/>
      <c r="BA40" s="34"/>
      <c r="BB40" s="34"/>
      <c r="BC40" s="34"/>
      <c r="BD40" s="34"/>
    </row>
    <row r="41" spans="1:56" ht="14.25" customHeight="1">
      <c r="A41" s="21">
        <v>40908</v>
      </c>
      <c r="B41" s="31">
        <v>53773.9</v>
      </c>
      <c r="C41" s="31">
        <v>3532.5</v>
      </c>
      <c r="D41" s="148">
        <f t="shared" si="17"/>
        <v>57306.400000000001</v>
      </c>
      <c r="E41" s="31">
        <v>11484.7</v>
      </c>
      <c r="F41" s="31">
        <v>7740.8</v>
      </c>
      <c r="G41" s="31">
        <v>65.2</v>
      </c>
      <c r="H41" s="31">
        <v>2025.9</v>
      </c>
      <c r="I41" s="31">
        <v>20686.2</v>
      </c>
      <c r="J41" s="31">
        <v>17918.900000000001</v>
      </c>
      <c r="K41" s="148">
        <f t="shared" si="18"/>
        <v>38605.100000000006</v>
      </c>
      <c r="L41" s="31">
        <v>7.4</v>
      </c>
      <c r="M41" s="31">
        <v>1044</v>
      </c>
      <c r="N41" s="31">
        <v>2985.1</v>
      </c>
      <c r="O41" s="31">
        <v>1080.0999999999999</v>
      </c>
      <c r="P41" s="31">
        <v>2498.6999999999998</v>
      </c>
      <c r="Q41" s="31">
        <v>0</v>
      </c>
      <c r="R41" s="31">
        <v>11953.8</v>
      </c>
      <c r="S41" s="31">
        <v>0</v>
      </c>
      <c r="T41" s="149">
        <f t="shared" si="19"/>
        <v>136797.20000000001</v>
      </c>
      <c r="U41" s="31">
        <v>9622.7000000000007</v>
      </c>
      <c r="V41" s="31">
        <v>40460.199999999997</v>
      </c>
      <c r="W41" s="31">
        <v>12230.4</v>
      </c>
      <c r="X41" s="31">
        <v>26003.599999999999</v>
      </c>
      <c r="Y41" s="31">
        <v>3894.6</v>
      </c>
      <c r="Z41" s="31">
        <v>8948.1</v>
      </c>
      <c r="AA41" s="31">
        <v>54242.6</v>
      </c>
      <c r="AB41" s="31">
        <v>7763.9</v>
      </c>
      <c r="AC41" s="150">
        <f t="shared" si="20"/>
        <v>163166.1</v>
      </c>
      <c r="AD41" s="151">
        <f t="shared" si="21"/>
        <v>-26368.899999999994</v>
      </c>
      <c r="AE41" s="152">
        <f t="shared" si="22"/>
        <v>-7.9134872039829385E-2</v>
      </c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21">
        <v>39082</v>
      </c>
      <c r="AT41" s="304">
        <f t="shared" si="23"/>
        <v>2682.9048806465144</v>
      </c>
      <c r="AU41" s="31">
        <f t="shared" si="24"/>
        <v>9223.0000000000146</v>
      </c>
      <c r="AV41" s="304">
        <f t="shared" si="25"/>
        <v>-6540.0951193535002</v>
      </c>
      <c r="AW41" s="34"/>
      <c r="AX41" s="34"/>
      <c r="AY41" s="34"/>
      <c r="AZ41" s="34"/>
      <c r="BA41" s="34"/>
      <c r="BB41" s="34"/>
      <c r="BC41" s="34"/>
      <c r="BD41" s="34"/>
    </row>
    <row r="42" spans="1:56" ht="14.25" customHeight="1">
      <c r="A42" s="21">
        <v>41274</v>
      </c>
      <c r="B42" s="31">
        <v>56335.7</v>
      </c>
      <c r="C42" s="31">
        <v>3555.9</v>
      </c>
      <c r="D42" s="148">
        <f t="shared" si="17"/>
        <v>59891.6</v>
      </c>
      <c r="E42" s="31">
        <v>12191.2</v>
      </c>
      <c r="F42" s="31">
        <v>6597.3</v>
      </c>
      <c r="G42" s="31">
        <v>38.5</v>
      </c>
      <c r="H42" s="31">
        <v>2104.5</v>
      </c>
      <c r="I42" s="31">
        <v>19771.599999999999</v>
      </c>
      <c r="J42" s="31">
        <v>18074.3</v>
      </c>
      <c r="K42" s="148">
        <f t="shared" si="18"/>
        <v>37845.899999999994</v>
      </c>
      <c r="L42" s="31">
        <v>7.4</v>
      </c>
      <c r="M42" s="31">
        <v>2718.1</v>
      </c>
      <c r="N42" s="31">
        <v>4503.2</v>
      </c>
      <c r="O42" s="31">
        <v>1172.8</v>
      </c>
      <c r="P42" s="31">
        <v>2387</v>
      </c>
      <c r="Q42" s="31">
        <v>0</v>
      </c>
      <c r="R42" s="31">
        <v>12554.2</v>
      </c>
      <c r="S42" s="31">
        <v>0</v>
      </c>
      <c r="T42" s="149">
        <f t="shared" si="19"/>
        <v>142011.69999999998</v>
      </c>
      <c r="U42" s="31">
        <v>5716.1</v>
      </c>
      <c r="V42" s="31">
        <v>39910</v>
      </c>
      <c r="W42" s="31">
        <v>12472.3</v>
      </c>
      <c r="X42" s="31">
        <v>25763.599999999999</v>
      </c>
      <c r="Y42" s="31">
        <v>4649.3</v>
      </c>
      <c r="Z42" s="31">
        <v>10192.200000000001</v>
      </c>
      <c r="AA42" s="31">
        <v>53853.599999999999</v>
      </c>
      <c r="AB42" s="31">
        <v>7148.5</v>
      </c>
      <c r="AC42" s="150">
        <f t="shared" si="20"/>
        <v>159705.60000000001</v>
      </c>
      <c r="AD42" s="151">
        <f t="shared" si="21"/>
        <v>-17693.900000000023</v>
      </c>
      <c r="AE42" s="152">
        <f t="shared" si="22"/>
        <v>-5.3535246159657067E-2</v>
      </c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21">
        <v>39447</v>
      </c>
      <c r="AT42" s="304">
        <f t="shared" si="23"/>
        <v>6484.4089126058971</v>
      </c>
      <c r="AU42" s="31">
        <f t="shared" si="24"/>
        <v>7196.5</v>
      </c>
      <c r="AV42" s="304">
        <f t="shared" si="25"/>
        <v>-712.09108739410294</v>
      </c>
      <c r="AW42" s="34"/>
      <c r="AX42" s="34"/>
      <c r="AY42" s="34"/>
      <c r="AZ42" s="34"/>
      <c r="BA42" s="34"/>
      <c r="BB42" s="34"/>
      <c r="BC42" s="34"/>
      <c r="BD42" s="34"/>
    </row>
    <row r="43" spans="1:56" ht="14.25" customHeight="1">
      <c r="A43" s="21">
        <v>41639</v>
      </c>
      <c r="B43" s="31">
        <v>58022.6</v>
      </c>
      <c r="C43" s="31">
        <v>3642.9</v>
      </c>
      <c r="D43" s="148">
        <f t="shared" si="17"/>
        <v>61665.5</v>
      </c>
      <c r="E43" s="31">
        <v>12761.9</v>
      </c>
      <c r="F43" s="31">
        <v>6741.8</v>
      </c>
      <c r="G43" s="31">
        <v>32</v>
      </c>
      <c r="H43" s="31">
        <v>2051.6999999999998</v>
      </c>
      <c r="I43" s="31">
        <v>18924.599999999999</v>
      </c>
      <c r="J43" s="31">
        <v>18224.7</v>
      </c>
      <c r="K43" s="148">
        <f t="shared" si="18"/>
        <v>37149.300000000003</v>
      </c>
      <c r="L43" s="31">
        <v>6.1</v>
      </c>
      <c r="M43" s="31">
        <v>895.3</v>
      </c>
      <c r="N43" s="31">
        <v>4340.1000000000004</v>
      </c>
      <c r="O43" s="31">
        <v>1284</v>
      </c>
      <c r="P43" s="31">
        <v>2283.4</v>
      </c>
      <c r="Q43" s="31">
        <v>0</v>
      </c>
      <c r="R43" s="31">
        <v>12928.1</v>
      </c>
      <c r="S43" s="31">
        <v>0</v>
      </c>
      <c r="T43" s="149">
        <f t="shared" si="19"/>
        <v>142139.20000000001</v>
      </c>
      <c r="U43" s="31">
        <v>4361.8</v>
      </c>
      <c r="V43" s="31">
        <v>38823.199999999997</v>
      </c>
      <c r="W43" s="31">
        <v>12995.2</v>
      </c>
      <c r="X43" s="31">
        <v>26343</v>
      </c>
      <c r="Y43" s="31">
        <v>6293.4</v>
      </c>
      <c r="Z43" s="31">
        <v>10383.9</v>
      </c>
      <c r="AA43" s="31">
        <v>54865.5</v>
      </c>
      <c r="AB43" s="31">
        <v>5750.5</v>
      </c>
      <c r="AC43" s="150">
        <f t="shared" si="20"/>
        <v>159816.5</v>
      </c>
      <c r="AD43" s="151">
        <f t="shared" si="21"/>
        <v>-17677.299999999988</v>
      </c>
      <c r="AE43" s="152">
        <f t="shared" si="22"/>
        <v>-5.3372048352301513E-2</v>
      </c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21">
        <v>39813</v>
      </c>
      <c r="AT43" s="304">
        <f t="shared" si="23"/>
        <v>15627.346650719599</v>
      </c>
      <c r="AU43" s="31">
        <f t="shared" si="24"/>
        <v>9791</v>
      </c>
      <c r="AV43" s="304">
        <f t="shared" si="25"/>
        <v>5836.346650719599</v>
      </c>
      <c r="AW43" s="34"/>
      <c r="AX43" s="34"/>
      <c r="AY43" s="34"/>
      <c r="AZ43" s="34"/>
      <c r="BA43" s="34"/>
      <c r="BB43" s="34"/>
      <c r="BC43" s="34"/>
      <c r="BD43" s="34"/>
    </row>
    <row r="44" spans="1:56" ht="14.25" customHeight="1">
      <c r="A44" s="21">
        <v>42004</v>
      </c>
      <c r="B44" s="31">
        <v>57545.1</v>
      </c>
      <c r="C44" s="31">
        <v>3744.6</v>
      </c>
      <c r="D44" s="148">
        <f t="shared" si="17"/>
        <v>61289.7</v>
      </c>
      <c r="E44" s="31">
        <v>12821.3</v>
      </c>
      <c r="F44" s="31">
        <v>5824.7</v>
      </c>
      <c r="G44" s="31">
        <v>119.3</v>
      </c>
      <c r="H44" s="31">
        <v>2075.6999999999998</v>
      </c>
      <c r="I44" s="31">
        <v>20278.099999999999</v>
      </c>
      <c r="J44" s="31">
        <v>18908.599999999999</v>
      </c>
      <c r="K44" s="148">
        <f t="shared" si="18"/>
        <v>39186.699999999997</v>
      </c>
      <c r="L44" s="31">
        <v>9.6</v>
      </c>
      <c r="M44" s="31">
        <v>938.5</v>
      </c>
      <c r="N44" s="31">
        <v>4719.8999999999996</v>
      </c>
      <c r="O44" s="31">
        <v>1695.7</v>
      </c>
      <c r="P44" s="31">
        <v>2446.5</v>
      </c>
      <c r="Q44" s="31">
        <v>0</v>
      </c>
      <c r="R44" s="31">
        <v>12626.5</v>
      </c>
      <c r="S44" s="31">
        <v>0</v>
      </c>
      <c r="T44" s="149">
        <f t="shared" si="19"/>
        <v>143754.1</v>
      </c>
      <c r="U44" s="31">
        <v>5641.5</v>
      </c>
      <c r="V44" s="31">
        <v>38011.4</v>
      </c>
      <c r="W44" s="31">
        <v>12732.5</v>
      </c>
      <c r="X44" s="31">
        <v>27463.4</v>
      </c>
      <c r="Y44" s="31">
        <v>5158.3</v>
      </c>
      <c r="Z44" s="31">
        <v>11388.5</v>
      </c>
      <c r="AA44" s="31">
        <v>56045.7</v>
      </c>
      <c r="AB44" s="31">
        <v>5037.8</v>
      </c>
      <c r="AC44" s="150">
        <f t="shared" si="20"/>
        <v>161479.09999999998</v>
      </c>
      <c r="AD44" s="151">
        <f t="shared" si="21"/>
        <v>-17724.999999999971</v>
      </c>
      <c r="AE44" s="152">
        <f t="shared" si="22"/>
        <v>-5.3494453375993636E-2</v>
      </c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21">
        <v>40178</v>
      </c>
      <c r="AT44" s="304">
        <f t="shared" si="23"/>
        <v>24772.83297960044</v>
      </c>
      <c r="AU44" s="31">
        <f t="shared" si="24"/>
        <v>20005.600000000035</v>
      </c>
      <c r="AV44" s="304">
        <f t="shared" si="25"/>
        <v>4767.2329796004051</v>
      </c>
      <c r="AW44" s="34"/>
      <c r="AX44" s="34"/>
      <c r="AY44" s="34"/>
      <c r="AZ44" s="34"/>
      <c r="BA44" s="34"/>
      <c r="BB44" s="34"/>
      <c r="BC44" s="34"/>
      <c r="BD44" s="34"/>
    </row>
    <row r="45" spans="1:56" ht="14.25" customHeight="1">
      <c r="A45" s="21">
        <v>42369</v>
      </c>
      <c r="B45" s="31">
        <v>60488.1</v>
      </c>
      <c r="C45" s="31">
        <v>4346.6000000000004</v>
      </c>
      <c r="D45" s="148">
        <f t="shared" si="17"/>
        <v>64834.7</v>
      </c>
      <c r="E45" s="31">
        <v>12038.6</v>
      </c>
      <c r="F45" s="31">
        <v>6362.6</v>
      </c>
      <c r="G45" s="31">
        <v>306.3</v>
      </c>
      <c r="H45" s="31">
        <v>2109.3000000000002</v>
      </c>
      <c r="I45" s="31">
        <v>21062.9</v>
      </c>
      <c r="J45" s="31">
        <v>19651.5</v>
      </c>
      <c r="K45" s="148">
        <f t="shared" si="18"/>
        <v>40714.400000000001</v>
      </c>
      <c r="L45" s="31">
        <v>10.4</v>
      </c>
      <c r="M45" s="31">
        <v>1671.9</v>
      </c>
      <c r="N45" s="31">
        <v>7911.1</v>
      </c>
      <c r="O45" s="31">
        <v>1078.9000000000001</v>
      </c>
      <c r="P45" s="31">
        <v>2255.1</v>
      </c>
      <c r="Q45" s="31">
        <v>0</v>
      </c>
      <c r="R45" s="31">
        <v>14652.8</v>
      </c>
      <c r="S45" s="31">
        <v>0</v>
      </c>
      <c r="T45" s="149">
        <f t="shared" si="19"/>
        <v>153946.09999999998</v>
      </c>
      <c r="U45" s="31">
        <v>5005.8999999999996</v>
      </c>
      <c r="V45" s="31">
        <v>38987.5</v>
      </c>
      <c r="W45" s="31">
        <v>11829.4</v>
      </c>
      <c r="X45" s="31">
        <v>27950.400000000001</v>
      </c>
      <c r="Y45" s="31">
        <v>7960.1</v>
      </c>
      <c r="Z45" s="31">
        <v>11686.3</v>
      </c>
      <c r="AA45" s="31">
        <v>57742</v>
      </c>
      <c r="AB45" s="31">
        <v>4045.4</v>
      </c>
      <c r="AC45" s="150">
        <f t="shared" si="20"/>
        <v>165207.00000000003</v>
      </c>
      <c r="AD45" s="151">
        <f t="shared" si="21"/>
        <v>-11260.900000000052</v>
      </c>
      <c r="AE45" s="152">
        <f t="shared" si="22"/>
        <v>-3.3149890789207923E-2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21">
        <v>40543</v>
      </c>
      <c r="AT45" s="304">
        <f t="shared" si="23"/>
        <v>29058.104883675289</v>
      </c>
      <c r="AU45" s="31">
        <f t="shared" si="24"/>
        <v>21260</v>
      </c>
      <c r="AV45" s="304">
        <f t="shared" si="25"/>
        <v>7798.1048836752889</v>
      </c>
      <c r="AW45" s="34"/>
      <c r="AX45" s="34"/>
      <c r="AY45" s="34"/>
      <c r="AZ45" s="34"/>
      <c r="BA45" s="34"/>
      <c r="BB45" s="34"/>
      <c r="BC45" s="34"/>
      <c r="BD45" s="34"/>
    </row>
    <row r="46" spans="1:56" ht="14.25" customHeight="1">
      <c r="A46" s="21">
        <v>42735</v>
      </c>
      <c r="B46" s="31">
        <v>63093.5</v>
      </c>
      <c r="C46" s="31">
        <v>4526.6000000000004</v>
      </c>
      <c r="D46" s="148">
        <f t="shared" si="17"/>
        <v>67620.100000000006</v>
      </c>
      <c r="E46" s="31">
        <v>12765.3</v>
      </c>
      <c r="F46" s="31">
        <v>7745.2</v>
      </c>
      <c r="G46" s="31">
        <v>327.3</v>
      </c>
      <c r="H46" s="31">
        <v>2044.9</v>
      </c>
      <c r="I46" s="31">
        <v>20456.900000000001</v>
      </c>
      <c r="J46" s="31">
        <v>21273.1</v>
      </c>
      <c r="K46" s="148">
        <f t="shared" si="18"/>
        <v>41730</v>
      </c>
      <c r="L46" s="31">
        <v>14.2</v>
      </c>
      <c r="M46" s="31">
        <v>2429.4</v>
      </c>
      <c r="N46" s="31">
        <v>9225.5</v>
      </c>
      <c r="O46" s="31">
        <v>888.3</v>
      </c>
      <c r="P46" s="31">
        <v>2698.6</v>
      </c>
      <c r="Q46" s="31">
        <v>0</v>
      </c>
      <c r="R46" s="31">
        <v>15669.1</v>
      </c>
      <c r="S46" s="31">
        <v>0</v>
      </c>
      <c r="T46" s="149">
        <f t="shared" si="19"/>
        <v>163157.9</v>
      </c>
      <c r="U46" s="31">
        <v>6261.6</v>
      </c>
      <c r="V46" s="31">
        <v>40066.400000000001</v>
      </c>
      <c r="W46" s="31">
        <v>12278</v>
      </c>
      <c r="X46" s="31">
        <v>28786.1</v>
      </c>
      <c r="Y46" s="31">
        <v>8094.4</v>
      </c>
      <c r="Z46" s="31">
        <v>10863.8</v>
      </c>
      <c r="AA46" s="31">
        <v>56026.3</v>
      </c>
      <c r="AB46" s="31">
        <v>4665.6000000000004</v>
      </c>
      <c r="AC46" s="150">
        <f t="shared" si="20"/>
        <v>167042.20000000001</v>
      </c>
      <c r="AD46" s="151">
        <f t="shared" si="21"/>
        <v>-3884.3000000000175</v>
      </c>
      <c r="AE46" s="152">
        <f t="shared" si="22"/>
        <v>-1.1061064160978181E-2</v>
      </c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21">
        <v>40908</v>
      </c>
      <c r="AT46" s="304">
        <f t="shared" si="23"/>
        <v>24456.139782561426</v>
      </c>
      <c r="AU46" s="31">
        <f t="shared" si="24"/>
        <v>26368.899999999994</v>
      </c>
      <c r="AV46" s="304">
        <f t="shared" si="25"/>
        <v>-1912.7602174385684</v>
      </c>
      <c r="AW46" s="34"/>
      <c r="AX46" s="34"/>
      <c r="AY46" s="34"/>
      <c r="AZ46" s="34"/>
      <c r="BA46" s="34"/>
      <c r="BB46" s="34"/>
      <c r="BC46" s="34"/>
      <c r="BD46" s="34"/>
    </row>
    <row r="47" spans="1:56" ht="14.25" customHeight="1">
      <c r="A47" s="21">
        <v>43100</v>
      </c>
      <c r="B47" s="31">
        <v>67313.3</v>
      </c>
      <c r="C47" s="31">
        <v>4210.6000000000004</v>
      </c>
      <c r="D47" s="148">
        <f t="shared" si="17"/>
        <v>71523.900000000009</v>
      </c>
      <c r="E47" s="31">
        <v>12097.8</v>
      </c>
      <c r="F47" s="31">
        <v>8462.1</v>
      </c>
      <c r="G47" s="31">
        <v>340.09999999999997</v>
      </c>
      <c r="H47" s="31">
        <v>2088.6999999999998</v>
      </c>
      <c r="I47" s="31">
        <v>21216.7</v>
      </c>
      <c r="J47" s="31">
        <v>22417.1</v>
      </c>
      <c r="K47" s="148">
        <f t="shared" si="18"/>
        <v>43633.8</v>
      </c>
      <c r="L47" s="31">
        <v>8.3000000000000007</v>
      </c>
      <c r="M47" s="31">
        <v>1614</v>
      </c>
      <c r="N47" s="31">
        <v>10113.799999999999</v>
      </c>
      <c r="O47" s="31">
        <v>899.3</v>
      </c>
      <c r="P47" s="31">
        <v>2805.7</v>
      </c>
      <c r="Q47" s="31">
        <v>0</v>
      </c>
      <c r="R47" s="31">
        <v>15526.6</v>
      </c>
      <c r="S47" s="31">
        <v>0</v>
      </c>
      <c r="T47" s="149">
        <f t="shared" si="19"/>
        <v>169114.10000000003</v>
      </c>
      <c r="U47" s="31">
        <v>4714.5</v>
      </c>
      <c r="V47" s="31">
        <v>41760.6</v>
      </c>
      <c r="W47" s="31">
        <v>10116.1</v>
      </c>
      <c r="X47" s="31">
        <v>29481</v>
      </c>
      <c r="Y47" s="31">
        <v>7535.5</v>
      </c>
      <c r="Z47" s="31">
        <v>9793</v>
      </c>
      <c r="AA47" s="31">
        <v>57188.6</v>
      </c>
      <c r="AB47" s="31">
        <v>5611</v>
      </c>
      <c r="AC47" s="150">
        <f t="shared" si="20"/>
        <v>166200.29999999999</v>
      </c>
      <c r="AD47" s="151">
        <f t="shared" si="21"/>
        <v>2913.8000000000466</v>
      </c>
      <c r="AE47" s="152">
        <f t="shared" si="22"/>
        <v>7.9519421094693399E-3</v>
      </c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21">
        <v>41274</v>
      </c>
      <c r="AT47" s="304">
        <f t="shared" si="23"/>
        <v>17272.568529483222</v>
      </c>
      <c r="AU47" s="31">
        <f t="shared" si="24"/>
        <v>17693.900000000023</v>
      </c>
      <c r="AV47" s="304">
        <f t="shared" si="25"/>
        <v>-421.33147051680135</v>
      </c>
      <c r="AW47" s="34"/>
      <c r="AX47" s="34"/>
      <c r="AY47" s="34"/>
      <c r="AZ47" s="34"/>
      <c r="BA47" s="34"/>
      <c r="BB47" s="34"/>
      <c r="BC47" s="34"/>
      <c r="BD47" s="34"/>
    </row>
    <row r="48" spans="1:56" ht="14.25" customHeight="1">
      <c r="A48" s="21">
        <v>43465</v>
      </c>
      <c r="B48" s="31">
        <v>72248.3</v>
      </c>
      <c r="C48" s="31">
        <v>4417.8</v>
      </c>
      <c r="D48" s="148">
        <f t="shared" si="17"/>
        <v>76666.100000000006</v>
      </c>
      <c r="E48" s="31">
        <v>13582.6</v>
      </c>
      <c r="F48" s="31">
        <v>8730.2000000000007</v>
      </c>
      <c r="G48" s="31">
        <v>351.2</v>
      </c>
      <c r="H48" s="31">
        <v>2111.6</v>
      </c>
      <c r="I48" s="31">
        <v>22066.5</v>
      </c>
      <c r="J48" s="31">
        <v>23841.200000000001</v>
      </c>
      <c r="K48" s="148">
        <f t="shared" si="18"/>
        <v>45907.7</v>
      </c>
      <c r="L48" s="31">
        <v>8.4</v>
      </c>
      <c r="M48" s="31">
        <v>2137.3000000000002</v>
      </c>
      <c r="N48" s="31">
        <v>7748.3</v>
      </c>
      <c r="O48" s="31">
        <v>844.8</v>
      </c>
      <c r="P48" s="31">
        <v>2512.4</v>
      </c>
      <c r="Q48" s="31">
        <v>0</v>
      </c>
      <c r="R48" s="31">
        <v>16597.8</v>
      </c>
      <c r="S48" s="31">
        <v>0</v>
      </c>
      <c r="T48" s="149">
        <f t="shared" si="19"/>
        <v>177198.40000000005</v>
      </c>
      <c r="U48" s="31">
        <v>6909.9</v>
      </c>
      <c r="V48" s="31">
        <v>44491.4</v>
      </c>
      <c r="W48" s="31">
        <v>13603.1</v>
      </c>
      <c r="X48" s="31">
        <v>30844.1</v>
      </c>
      <c r="Y48" s="31">
        <v>5176.3</v>
      </c>
      <c r="Z48" s="31">
        <v>8932</v>
      </c>
      <c r="AA48" s="31">
        <v>59516.5</v>
      </c>
      <c r="AB48" s="31">
        <v>6733.3</v>
      </c>
      <c r="AC48" s="150">
        <f t="shared" si="20"/>
        <v>176206.59999999998</v>
      </c>
      <c r="AD48" s="151">
        <f t="shared" si="21"/>
        <v>991.80000000007567</v>
      </c>
      <c r="AE48" s="152">
        <f t="shared" si="22"/>
        <v>2.5897925323540715E-3</v>
      </c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21">
        <v>41639</v>
      </c>
      <c r="AT48" s="304">
        <f t="shared" si="23"/>
        <v>37146.800375040213</v>
      </c>
      <c r="AU48" s="31">
        <f t="shared" si="24"/>
        <v>17677.299999999988</v>
      </c>
      <c r="AV48" s="304">
        <f t="shared" si="25"/>
        <v>19469.500375040225</v>
      </c>
      <c r="AW48" s="34"/>
      <c r="AX48" s="34"/>
      <c r="AY48" s="34"/>
      <c r="AZ48" s="34"/>
      <c r="BA48" s="34"/>
      <c r="BB48" s="34"/>
      <c r="BC48" s="34"/>
      <c r="BD48" s="34"/>
    </row>
    <row r="49" spans="1:56" ht="14.25" customHeight="1">
      <c r="A49" s="164">
        <v>43830</v>
      </c>
      <c r="B49" s="165">
        <v>76224</v>
      </c>
      <c r="C49" s="165">
        <v>5065</v>
      </c>
      <c r="D49" s="166">
        <f t="shared" si="17"/>
        <v>81289</v>
      </c>
      <c r="E49" s="167">
        <f t="shared" ref="E49:G49" si="26">E48*(1+$E$94)</f>
        <v>14446.135489763501</v>
      </c>
      <c r="F49" s="167">
        <f t="shared" si="26"/>
        <v>9285.236409283445</v>
      </c>
      <c r="G49" s="167">
        <f t="shared" si="26"/>
        <v>373.52810095305324</v>
      </c>
      <c r="H49" s="167">
        <v>2151.6999999999998</v>
      </c>
      <c r="I49" s="165">
        <v>22417</v>
      </c>
      <c r="J49" s="165">
        <v>24947</v>
      </c>
      <c r="K49" s="169">
        <v>47364</v>
      </c>
      <c r="L49" s="165">
        <v>13</v>
      </c>
      <c r="M49" s="165">
        <v>3703</v>
      </c>
      <c r="N49" s="165">
        <v>9631</v>
      </c>
      <c r="O49" s="165">
        <v>839</v>
      </c>
      <c r="P49" s="165">
        <v>2640</v>
      </c>
      <c r="Q49" s="170">
        <v>0</v>
      </c>
      <c r="R49" s="165">
        <v>17970</v>
      </c>
      <c r="S49" s="170">
        <v>0</v>
      </c>
      <c r="T49" s="171">
        <f t="shared" si="19"/>
        <v>189705.60000000001</v>
      </c>
      <c r="U49" s="165">
        <v>7541</v>
      </c>
      <c r="V49" s="165">
        <v>47486</v>
      </c>
      <c r="W49" s="165">
        <v>17322</v>
      </c>
      <c r="X49" s="165">
        <v>33329</v>
      </c>
      <c r="Y49" s="165">
        <v>5371</v>
      </c>
      <c r="Z49" s="165">
        <v>8894</v>
      </c>
      <c r="AA49" s="165">
        <v>62205</v>
      </c>
      <c r="AB49" s="165">
        <v>6195</v>
      </c>
      <c r="AC49" s="172">
        <f t="shared" si="20"/>
        <v>188343</v>
      </c>
      <c r="AD49" s="151">
        <f t="shared" si="21"/>
        <v>1362.6000000000058</v>
      </c>
      <c r="AE49" s="152">
        <f t="shared" si="22"/>
        <v>3.4056264030558211E-3</v>
      </c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21">
        <v>42004</v>
      </c>
      <c r="AT49" s="304">
        <f t="shared" si="23"/>
        <v>11700.569470188522</v>
      </c>
      <c r="AU49" s="31">
        <f t="shared" si="24"/>
        <v>17724.999999999971</v>
      </c>
      <c r="AV49" s="304">
        <f t="shared" si="25"/>
        <v>-6024.4305298114487</v>
      </c>
      <c r="AW49" s="34"/>
      <c r="AX49" s="34"/>
      <c r="AY49" s="34"/>
      <c r="AZ49" s="34"/>
      <c r="BA49" s="34"/>
      <c r="BB49" s="34"/>
      <c r="BC49" s="34"/>
      <c r="BD49" s="34"/>
    </row>
    <row r="50" spans="1:56" ht="14.25" customHeight="1">
      <c r="A50" s="21">
        <v>44196</v>
      </c>
      <c r="B50" s="174"/>
      <c r="C50" s="174"/>
      <c r="D50" s="175">
        <f>SUM(bdp!AS109:AS112)*21%</f>
        <v>57007.870965710754</v>
      </c>
      <c r="E50" s="90">
        <f>AVERAGE(nezaposlenost!BG27:BJ27)*AVERAGE(place!Z91:Z94)*12/1000000*9%</f>
        <v>13137.551712816086</v>
      </c>
      <c r="F50" s="69">
        <f>F49*60%</f>
        <v>5571.1418455700668</v>
      </c>
      <c r="G50" s="90">
        <f t="shared" ref="G50:H50" si="27">G49</f>
        <v>373.52810095305324</v>
      </c>
      <c r="H50" s="90">
        <f t="shared" si="27"/>
        <v>2151.6999999999998</v>
      </c>
      <c r="I50" s="174"/>
      <c r="J50" s="174"/>
      <c r="K50" s="175">
        <f>AVERAGE(nezaposlenost!BG27:BJ27)*AVERAGE(place!Z91:Z94)*12/1000000*29%</f>
        <v>42332.111074629611</v>
      </c>
      <c r="L50" s="175">
        <f t="shared" ref="L50:S50" si="28">L49</f>
        <v>13</v>
      </c>
      <c r="M50" s="176">
        <f t="shared" si="28"/>
        <v>3703</v>
      </c>
      <c r="N50" s="176">
        <f>N49+8800</f>
        <v>18431</v>
      </c>
      <c r="O50" s="176">
        <f t="shared" si="28"/>
        <v>839</v>
      </c>
      <c r="P50" s="176">
        <f t="shared" si="28"/>
        <v>2640</v>
      </c>
      <c r="Q50" s="176">
        <f t="shared" si="28"/>
        <v>0</v>
      </c>
      <c r="R50" s="176">
        <f t="shared" si="28"/>
        <v>17970</v>
      </c>
      <c r="S50" s="176">
        <f t="shared" si="28"/>
        <v>0</v>
      </c>
      <c r="T50" s="177">
        <f t="shared" si="19"/>
        <v>164169.90369967959</v>
      </c>
      <c r="U50" s="90">
        <f>U49+10000</f>
        <v>17541</v>
      </c>
      <c r="V50" s="90">
        <f>V49*103%</f>
        <v>48910.58</v>
      </c>
      <c r="W50" s="90">
        <f>W49</f>
        <v>17322</v>
      </c>
      <c r="X50" s="90">
        <f>X49*95%</f>
        <v>31662.55</v>
      </c>
      <c r="Y50" s="90">
        <f t="shared" ref="Y50:Z50" si="29">Y49</f>
        <v>5371</v>
      </c>
      <c r="Z50" s="90">
        <f t="shared" si="29"/>
        <v>8894</v>
      </c>
      <c r="AA50" s="178">
        <v>66425</v>
      </c>
      <c r="AB50" s="90">
        <f>AB49</f>
        <v>6195</v>
      </c>
      <c r="AC50" s="179">
        <f t="shared" si="20"/>
        <v>202321.13</v>
      </c>
      <c r="AD50" s="151">
        <f t="shared" si="21"/>
        <v>-38151.226300320413</v>
      </c>
      <c r="AE50" s="152">
        <f t="shared" si="22"/>
        <v>-0.12408471912401377</v>
      </c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21">
        <v>42369</v>
      </c>
      <c r="AT50" s="304">
        <f t="shared" si="23"/>
        <v>5802.4702626041835</v>
      </c>
      <c r="AU50" s="31">
        <f t="shared" si="24"/>
        <v>11260.900000000052</v>
      </c>
      <c r="AV50" s="304">
        <f t="shared" si="25"/>
        <v>-5458.4297373958689</v>
      </c>
      <c r="AW50" s="34"/>
      <c r="AX50" s="34"/>
      <c r="AY50" s="34"/>
      <c r="AZ50" s="34"/>
      <c r="BA50" s="34"/>
      <c r="BB50" s="34"/>
      <c r="BC50" s="34"/>
      <c r="BD50" s="34"/>
    </row>
    <row r="51" spans="1:56" ht="14.25" customHeight="1">
      <c r="M51" s="356" t="s">
        <v>329</v>
      </c>
      <c r="N51" s="357"/>
      <c r="O51" s="357"/>
      <c r="P51" s="357"/>
      <c r="Q51" s="357"/>
      <c r="R51" s="357"/>
      <c r="S51" s="358"/>
      <c r="U51" s="373" t="s">
        <v>330</v>
      </c>
      <c r="V51" s="357"/>
      <c r="W51" s="357"/>
      <c r="X51" s="357"/>
      <c r="Y51" s="357"/>
      <c r="Z51" s="357"/>
      <c r="AA51" s="357"/>
      <c r="AB51" s="35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21">
        <v>42735</v>
      </c>
      <c r="AT51" s="304">
        <f t="shared" si="23"/>
        <v>-2657.4266513478942</v>
      </c>
      <c r="AU51" s="31">
        <f t="shared" si="24"/>
        <v>3884.3000000000175</v>
      </c>
      <c r="AV51" s="304">
        <f t="shared" si="25"/>
        <v>-6541.7266513479117</v>
      </c>
      <c r="AW51" s="34"/>
      <c r="AX51" s="34"/>
      <c r="AY51" s="34"/>
      <c r="AZ51" s="34"/>
      <c r="BA51" s="34"/>
      <c r="BB51" s="34"/>
      <c r="BC51" s="34"/>
      <c r="BD51" s="34"/>
    </row>
    <row r="52" spans="1:56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180"/>
      <c r="N52" s="180"/>
      <c r="O52" s="180"/>
      <c r="P52" s="180"/>
      <c r="Q52" s="180"/>
      <c r="R52" s="180"/>
      <c r="S52" s="180"/>
      <c r="T52" s="34"/>
      <c r="U52" s="180"/>
      <c r="V52" s="180"/>
      <c r="W52" s="180"/>
      <c r="X52" s="180"/>
      <c r="Y52" s="180"/>
      <c r="Z52" s="180"/>
      <c r="AA52" s="180"/>
      <c r="AB52" s="180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21">
        <v>43100</v>
      </c>
      <c r="AT52" s="304">
        <f t="shared" si="23"/>
        <v>1166.8953191431356</v>
      </c>
      <c r="AU52" s="31">
        <f t="shared" si="24"/>
        <v>-2913.8000000000466</v>
      </c>
      <c r="AV52" s="304">
        <f t="shared" si="25"/>
        <v>4080.6953191431821</v>
      </c>
      <c r="AW52" s="34"/>
      <c r="AX52" s="34"/>
      <c r="AY52" s="34"/>
      <c r="AZ52" s="34"/>
      <c r="BA52" s="34"/>
      <c r="BB52" s="34"/>
      <c r="BC52" s="34"/>
      <c r="BD52" s="34"/>
    </row>
    <row r="53" spans="1:56" ht="14.25" customHeight="1">
      <c r="A53" s="388" t="s">
        <v>7</v>
      </c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57"/>
      <c r="P53" s="357"/>
      <c r="Q53" s="357"/>
      <c r="R53" s="357"/>
      <c r="S53" s="357"/>
      <c r="T53" s="357"/>
      <c r="U53" s="357"/>
      <c r="V53" s="357"/>
      <c r="W53" s="357"/>
      <c r="X53" s="357"/>
      <c r="Y53" s="357"/>
      <c r="Z53" s="357"/>
      <c r="AA53" s="357"/>
      <c r="AB53" s="357"/>
      <c r="AC53" s="357"/>
      <c r="AD53" s="357"/>
      <c r="AE53" s="35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21">
        <v>43465</v>
      </c>
      <c r="AT53" s="304">
        <f t="shared" si="23"/>
        <v>1218.107869726955</v>
      </c>
      <c r="AU53" s="31">
        <f t="shared" si="24"/>
        <v>-991.80000000007567</v>
      </c>
      <c r="AV53" s="304">
        <f t="shared" si="25"/>
        <v>2209.9078697270306</v>
      </c>
      <c r="AW53" s="34"/>
      <c r="AX53" s="34"/>
      <c r="AY53" s="34"/>
      <c r="AZ53" s="34"/>
      <c r="BA53" s="34"/>
      <c r="BB53" s="34"/>
      <c r="BC53" s="34"/>
      <c r="BD53" s="34"/>
    </row>
    <row r="54" spans="1:56" ht="14.25" customHeight="1">
      <c r="A54" s="2" t="s">
        <v>23</v>
      </c>
      <c r="B54" s="374" t="s">
        <v>234</v>
      </c>
      <c r="C54" s="357"/>
      <c r="D54" s="357"/>
      <c r="E54" s="357"/>
      <c r="F54" s="357"/>
      <c r="G54" s="357"/>
      <c r="H54" s="357"/>
      <c r="I54" s="357"/>
      <c r="J54" s="357"/>
      <c r="K54" s="357"/>
      <c r="L54" s="358"/>
      <c r="M54" s="375" t="s">
        <v>236</v>
      </c>
      <c r="N54" s="357"/>
      <c r="O54" s="357"/>
      <c r="P54" s="357"/>
      <c r="Q54" s="357"/>
      <c r="R54" s="357"/>
      <c r="S54" s="358"/>
      <c r="T54" s="376" t="s">
        <v>237</v>
      </c>
      <c r="U54" s="378" t="s">
        <v>238</v>
      </c>
      <c r="V54" s="379"/>
      <c r="W54" s="379"/>
      <c r="X54" s="379"/>
      <c r="Y54" s="379"/>
      <c r="Z54" s="379"/>
      <c r="AA54" s="379"/>
      <c r="AB54" s="380"/>
      <c r="AC54" s="391" t="s">
        <v>240</v>
      </c>
      <c r="AD54" s="392" t="s">
        <v>241</v>
      </c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21">
        <v>43830</v>
      </c>
      <c r="AT54" s="304">
        <f t="shared" si="23"/>
        <v>6881.9216579805361</v>
      </c>
      <c r="AU54" s="31">
        <f t="shared" si="24"/>
        <v>-1362.6000000000058</v>
      </c>
      <c r="AV54" s="304">
        <f t="shared" si="25"/>
        <v>8244.5216579805419</v>
      </c>
      <c r="AW54" s="34"/>
      <c r="AX54" s="34"/>
      <c r="AY54" s="34"/>
      <c r="AZ54" s="34"/>
      <c r="BA54" s="34"/>
      <c r="BB54" s="34"/>
      <c r="BC54" s="34"/>
      <c r="BD54" s="34"/>
    </row>
    <row r="55" spans="1:56" ht="14.25" customHeight="1">
      <c r="A55" s="2" t="s">
        <v>25</v>
      </c>
      <c r="B55" s="386" t="s">
        <v>242</v>
      </c>
      <c r="C55" s="357"/>
      <c r="D55" s="358"/>
      <c r="E55" s="389" t="s">
        <v>243</v>
      </c>
      <c r="F55" s="357"/>
      <c r="G55" s="357"/>
      <c r="H55" s="358"/>
      <c r="I55" s="390" t="s">
        <v>244</v>
      </c>
      <c r="J55" s="357"/>
      <c r="K55" s="358"/>
      <c r="L55" s="136" t="s">
        <v>245</v>
      </c>
      <c r="M55" s="137" t="s">
        <v>247</v>
      </c>
      <c r="N55" s="137" t="s">
        <v>248</v>
      </c>
      <c r="O55" s="138" t="s">
        <v>249</v>
      </c>
      <c r="P55" s="138" t="s">
        <v>249</v>
      </c>
      <c r="Q55" s="137" t="s">
        <v>250</v>
      </c>
      <c r="R55" s="137" t="s">
        <v>251</v>
      </c>
      <c r="S55" s="137" t="s">
        <v>252</v>
      </c>
      <c r="T55" s="377"/>
      <c r="U55" s="381"/>
      <c r="V55" s="369"/>
      <c r="W55" s="369"/>
      <c r="X55" s="369"/>
      <c r="Y55" s="369"/>
      <c r="Z55" s="369"/>
      <c r="AA55" s="369"/>
      <c r="AB55" s="382"/>
      <c r="AC55" s="377"/>
      <c r="AD55" s="377"/>
      <c r="AE55" s="137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21"/>
      <c r="AT55" s="304"/>
      <c r="AU55" s="31"/>
      <c r="AV55" s="34"/>
      <c r="AW55" s="34"/>
      <c r="AX55" s="34"/>
      <c r="AY55" s="34"/>
      <c r="AZ55" s="34"/>
      <c r="BA55" s="34"/>
      <c r="BB55" s="34"/>
      <c r="BC55" s="34"/>
      <c r="BD55" s="34"/>
    </row>
    <row r="56" spans="1:56" ht="14.25" customHeight="1">
      <c r="A56" s="21" t="s">
        <v>26</v>
      </c>
      <c r="B56" s="137" t="s">
        <v>253</v>
      </c>
      <c r="C56" s="137" t="s">
        <v>254</v>
      </c>
      <c r="D56" s="139" t="s">
        <v>242</v>
      </c>
      <c r="E56" s="387" t="s">
        <v>258</v>
      </c>
      <c r="F56" s="357"/>
      <c r="G56" s="358"/>
      <c r="H56" s="137" t="s">
        <v>259</v>
      </c>
      <c r="I56" s="137" t="s">
        <v>260</v>
      </c>
      <c r="J56" s="137" t="s">
        <v>261</v>
      </c>
      <c r="K56" s="140" t="s">
        <v>244</v>
      </c>
      <c r="L56" s="137" t="s">
        <v>262</v>
      </c>
      <c r="M56" s="137" t="s">
        <v>263</v>
      </c>
      <c r="N56" s="137" t="s">
        <v>248</v>
      </c>
      <c r="O56" s="137" t="s">
        <v>264</v>
      </c>
      <c r="P56" s="137" t="s">
        <v>265</v>
      </c>
      <c r="Q56" s="137" t="s">
        <v>250</v>
      </c>
      <c r="R56" s="137" t="s">
        <v>266</v>
      </c>
      <c r="S56" s="137" t="s">
        <v>252</v>
      </c>
      <c r="T56" s="377"/>
      <c r="U56" s="383"/>
      <c r="V56" s="384"/>
      <c r="W56" s="384"/>
      <c r="X56" s="384"/>
      <c r="Y56" s="384"/>
      <c r="Z56" s="384"/>
      <c r="AA56" s="384"/>
      <c r="AB56" s="385"/>
      <c r="AC56" s="377"/>
      <c r="AD56" s="377"/>
      <c r="AE56" s="141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</row>
    <row r="57" spans="1:56" ht="14.25" customHeight="1">
      <c r="A57" s="21"/>
      <c r="B57" s="137"/>
      <c r="C57" s="137"/>
      <c r="D57" s="139" t="s">
        <v>242</v>
      </c>
      <c r="E57" s="137" t="s">
        <v>268</v>
      </c>
      <c r="F57" s="137" t="s">
        <v>269</v>
      </c>
      <c r="G57" s="137" t="s">
        <v>270</v>
      </c>
      <c r="H57" s="137" t="s">
        <v>259</v>
      </c>
      <c r="I57" s="137" t="s">
        <v>260</v>
      </c>
      <c r="J57" s="137" t="s">
        <v>261</v>
      </c>
      <c r="K57" s="140" t="s">
        <v>244</v>
      </c>
      <c r="L57" s="137" t="s">
        <v>262</v>
      </c>
      <c r="M57" s="137" t="s">
        <v>263</v>
      </c>
      <c r="N57" s="137" t="s">
        <v>248</v>
      </c>
      <c r="O57" s="137" t="s">
        <v>264</v>
      </c>
      <c r="P57" s="137" t="s">
        <v>265</v>
      </c>
      <c r="Q57" s="137" t="s">
        <v>250</v>
      </c>
      <c r="R57" s="137" t="s">
        <v>266</v>
      </c>
      <c r="S57" s="137" t="s">
        <v>252</v>
      </c>
      <c r="T57" s="363"/>
      <c r="U57" s="137" t="s">
        <v>247</v>
      </c>
      <c r="V57" s="137" t="s">
        <v>271</v>
      </c>
      <c r="W57" s="137" t="s">
        <v>272</v>
      </c>
      <c r="X57" s="137" t="s">
        <v>273</v>
      </c>
      <c r="Y57" s="137" t="s">
        <v>248</v>
      </c>
      <c r="Z57" s="137" t="s">
        <v>249</v>
      </c>
      <c r="AA57" s="137" t="s">
        <v>274</v>
      </c>
      <c r="AB57" s="137" t="s">
        <v>275</v>
      </c>
      <c r="AC57" s="363"/>
      <c r="AD57" s="363"/>
      <c r="AE57" s="143" t="s">
        <v>276</v>
      </c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56" ht="14.25" customHeight="1">
      <c r="A58" s="21">
        <v>37621</v>
      </c>
      <c r="B58" s="31">
        <v>39417.599999999999</v>
      </c>
      <c r="C58" s="31">
        <v>1917.1</v>
      </c>
      <c r="D58" s="148">
        <f t="shared" ref="D58:D75" si="30">B58+C58</f>
        <v>41334.699999999997</v>
      </c>
      <c r="E58" s="31">
        <v>8030.2</v>
      </c>
      <c r="F58" s="31">
        <v>3843.4</v>
      </c>
      <c r="G58" s="31">
        <v>0</v>
      </c>
      <c r="H58" s="31">
        <v>1193.9000000000001</v>
      </c>
      <c r="I58" s="31">
        <v>13164.6</v>
      </c>
      <c r="J58" s="31">
        <v>12035.5</v>
      </c>
      <c r="K58" s="148">
        <f t="shared" ref="K58:K74" si="31">I58+J58</f>
        <v>25200.1</v>
      </c>
      <c r="L58" s="31">
        <v>1.9</v>
      </c>
      <c r="M58" s="31">
        <v>1479.9</v>
      </c>
      <c r="N58" s="31">
        <v>7317.3</v>
      </c>
      <c r="O58" s="31">
        <v>579.79999999999995</v>
      </c>
      <c r="P58" s="31">
        <v>2100.9</v>
      </c>
      <c r="Q58" s="31">
        <v>0</v>
      </c>
      <c r="R58" s="31">
        <v>9044.6</v>
      </c>
      <c r="S58" s="31">
        <v>0</v>
      </c>
      <c r="T58" s="149">
        <f t="shared" ref="T58:T76" si="32">SUM(K58:S58,D58:H58)</f>
        <v>100126.7</v>
      </c>
      <c r="U58" s="31">
        <v>5268.2</v>
      </c>
      <c r="V58" s="31">
        <v>25388.3</v>
      </c>
      <c r="W58" s="31">
        <v>11745.8</v>
      </c>
      <c r="X58" s="31">
        <v>16633</v>
      </c>
      <c r="Y58" s="31">
        <v>2142.5</v>
      </c>
      <c r="Z58" s="31">
        <v>3498.1</v>
      </c>
      <c r="AA58" s="31">
        <v>37779.4</v>
      </c>
      <c r="AB58" s="31">
        <v>4615.5</v>
      </c>
      <c r="AC58" s="150">
        <f t="shared" ref="AC58:AC76" si="33">SUM(U58:AB58)</f>
        <v>107070.8</v>
      </c>
      <c r="AD58" s="151">
        <f t="shared" ref="AD58:AD76" si="34">T58-AC58</f>
        <v>-6944.1000000000058</v>
      </c>
      <c r="AE58" s="152">
        <f t="shared" ref="AE58:AE76" si="35">AD58/(C98+D98)</f>
        <v>-3.2897096359012952E-2</v>
      </c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</row>
    <row r="59" spans="1:56" ht="14.25" customHeight="1">
      <c r="A59" s="21">
        <v>37986</v>
      </c>
      <c r="B59" s="31">
        <v>42404.4</v>
      </c>
      <c r="C59" s="31">
        <v>2074.4</v>
      </c>
      <c r="D59" s="148">
        <f t="shared" si="30"/>
        <v>44478.8</v>
      </c>
      <c r="E59" s="31">
        <v>8440</v>
      </c>
      <c r="F59" s="31">
        <v>4491.8999999999996</v>
      </c>
      <c r="G59" s="31">
        <v>0</v>
      </c>
      <c r="H59" s="31">
        <v>1436.4</v>
      </c>
      <c r="I59" s="31">
        <v>14326.7</v>
      </c>
      <c r="J59" s="31">
        <v>13097.9</v>
      </c>
      <c r="K59" s="148">
        <f t="shared" si="31"/>
        <v>27424.6</v>
      </c>
      <c r="L59" s="31">
        <v>1.9</v>
      </c>
      <c r="M59" s="31">
        <v>1192.9000000000001</v>
      </c>
      <c r="N59" s="31">
        <v>6028.5</v>
      </c>
      <c r="O59" s="31">
        <v>752.1</v>
      </c>
      <c r="P59" s="31">
        <v>2293.4</v>
      </c>
      <c r="Q59" s="31">
        <v>0</v>
      </c>
      <c r="R59" s="31">
        <v>9338.4</v>
      </c>
      <c r="S59" s="31">
        <v>0</v>
      </c>
      <c r="T59" s="149">
        <f t="shared" si="32"/>
        <v>105878.9</v>
      </c>
      <c r="U59" s="31">
        <v>4953.8</v>
      </c>
      <c r="V59" s="31">
        <v>27265.8</v>
      </c>
      <c r="W59" s="31">
        <v>17123.3</v>
      </c>
      <c r="X59" s="31">
        <v>16853.2</v>
      </c>
      <c r="Y59" s="31">
        <v>6018.2</v>
      </c>
      <c r="Z59" s="31">
        <v>3901</v>
      </c>
      <c r="AA59" s="31">
        <v>35345.199999999997</v>
      </c>
      <c r="AB59" s="31">
        <v>4932.3999999999996</v>
      </c>
      <c r="AC59" s="150">
        <f t="shared" si="33"/>
        <v>116392.89999999998</v>
      </c>
      <c r="AD59" s="151">
        <f t="shared" si="34"/>
        <v>-10513.999999999985</v>
      </c>
      <c r="AE59" s="152">
        <f t="shared" si="35"/>
        <v>-4.5207287035546509E-2</v>
      </c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</row>
    <row r="60" spans="1:56" ht="14.25" customHeight="1">
      <c r="A60" s="21">
        <v>38352</v>
      </c>
      <c r="B60" s="31">
        <v>44086.8</v>
      </c>
      <c r="C60" s="31">
        <v>2352.9</v>
      </c>
      <c r="D60" s="148">
        <f t="shared" si="30"/>
        <v>46439.700000000004</v>
      </c>
      <c r="E60" s="31">
        <v>9258.6</v>
      </c>
      <c r="F60" s="31">
        <v>4587.7</v>
      </c>
      <c r="G60" s="31">
        <v>0</v>
      </c>
      <c r="H60" s="31">
        <v>1554.4</v>
      </c>
      <c r="I60" s="31">
        <v>15737.7</v>
      </c>
      <c r="J60" s="31">
        <v>13739.9</v>
      </c>
      <c r="K60" s="148">
        <f t="shared" si="31"/>
        <v>29477.599999999999</v>
      </c>
      <c r="L60" s="31">
        <v>2.2999999999999998</v>
      </c>
      <c r="M60" s="31">
        <v>54.5</v>
      </c>
      <c r="N60" s="31">
        <v>5713</v>
      </c>
      <c r="O60" s="31">
        <v>903.2</v>
      </c>
      <c r="P60" s="31">
        <v>2382.5</v>
      </c>
      <c r="Q60" s="31">
        <v>0</v>
      </c>
      <c r="R60" s="31">
        <v>9731.1</v>
      </c>
      <c r="S60" s="31">
        <v>0</v>
      </c>
      <c r="T60" s="149">
        <f t="shared" si="32"/>
        <v>110104.59999999999</v>
      </c>
      <c r="U60" s="31">
        <v>6349.2</v>
      </c>
      <c r="V60" s="31">
        <v>29456.7</v>
      </c>
      <c r="W60" s="31">
        <v>16498</v>
      </c>
      <c r="X60" s="31">
        <v>17203.599999999999</v>
      </c>
      <c r="Y60" s="31">
        <v>3345.7</v>
      </c>
      <c r="Z60" s="31">
        <v>4462.2</v>
      </c>
      <c r="AA60" s="31">
        <v>39424.1</v>
      </c>
      <c r="AB60" s="31">
        <v>5830.7</v>
      </c>
      <c r="AC60" s="150">
        <f t="shared" si="33"/>
        <v>122570.2</v>
      </c>
      <c r="AD60" s="151">
        <f t="shared" si="34"/>
        <v>-12465.600000000006</v>
      </c>
      <c r="AE60" s="152">
        <f t="shared" si="35"/>
        <v>-4.9665070740932155E-2</v>
      </c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</row>
    <row r="61" spans="1:56" ht="14.25" customHeight="1">
      <c r="A61" s="21">
        <v>38717</v>
      </c>
      <c r="B61" s="31">
        <v>47049.1</v>
      </c>
      <c r="C61" s="31">
        <v>2362.3000000000002</v>
      </c>
      <c r="D61" s="148">
        <f t="shared" si="30"/>
        <v>49411.4</v>
      </c>
      <c r="E61" s="31">
        <v>9371.2999999999993</v>
      </c>
      <c r="F61" s="31">
        <v>6168.9</v>
      </c>
      <c r="G61" s="31">
        <v>0</v>
      </c>
      <c r="H61" s="31">
        <v>1668.8</v>
      </c>
      <c r="I61" s="31">
        <v>16695.5</v>
      </c>
      <c r="J61" s="31">
        <v>14605.8</v>
      </c>
      <c r="K61" s="148">
        <f t="shared" si="31"/>
        <v>31301.3</v>
      </c>
      <c r="L61" s="31">
        <v>2.4</v>
      </c>
      <c r="M61" s="31">
        <v>74.5</v>
      </c>
      <c r="N61" s="31">
        <v>5282.1</v>
      </c>
      <c r="O61" s="31">
        <v>1021.4</v>
      </c>
      <c r="P61" s="31">
        <v>2478.5</v>
      </c>
      <c r="Q61" s="31">
        <v>0</v>
      </c>
      <c r="R61" s="31">
        <v>10022.799999999999</v>
      </c>
      <c r="S61" s="31">
        <v>0</v>
      </c>
      <c r="T61" s="149">
        <f t="shared" si="32"/>
        <v>116803.4</v>
      </c>
      <c r="U61" s="31">
        <v>4883.1000000000004</v>
      </c>
      <c r="V61" s="31">
        <v>30427.8</v>
      </c>
      <c r="W61" s="31">
        <v>15504.7</v>
      </c>
      <c r="X61" s="31">
        <v>19086.5</v>
      </c>
      <c r="Y61" s="31">
        <v>6185.2</v>
      </c>
      <c r="Z61" s="31">
        <v>4831.2</v>
      </c>
      <c r="AA61" s="31">
        <v>39514.300000000003</v>
      </c>
      <c r="AB61" s="31">
        <v>6267.9</v>
      </c>
      <c r="AC61" s="150">
        <f t="shared" si="33"/>
        <v>126700.7</v>
      </c>
      <c r="AD61" s="151">
        <f t="shared" si="34"/>
        <v>-9897.3000000000029</v>
      </c>
      <c r="AE61" s="152">
        <f t="shared" si="35"/>
        <v>-3.6654660509326496E-2</v>
      </c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</row>
    <row r="62" spans="1:56" ht="14.25" customHeight="1">
      <c r="A62" s="21">
        <v>39082</v>
      </c>
      <c r="B62" s="31">
        <v>51273.7</v>
      </c>
      <c r="C62" s="31">
        <v>2576.6</v>
      </c>
      <c r="D62" s="148">
        <f t="shared" si="30"/>
        <v>53850.299999999996</v>
      </c>
      <c r="E62" s="31">
        <v>10606.9</v>
      </c>
      <c r="F62" s="31">
        <v>8304.6</v>
      </c>
      <c r="G62" s="31">
        <v>0</v>
      </c>
      <c r="H62" s="31">
        <v>1757.7</v>
      </c>
      <c r="I62" s="31">
        <v>18051.400000000001</v>
      </c>
      <c r="J62" s="31">
        <v>15825.8</v>
      </c>
      <c r="K62" s="148">
        <f t="shared" si="31"/>
        <v>33877.199999999997</v>
      </c>
      <c r="L62" s="31">
        <v>2</v>
      </c>
      <c r="M62" s="31">
        <v>166.4</v>
      </c>
      <c r="N62" s="31">
        <v>5105.3</v>
      </c>
      <c r="O62" s="31">
        <v>1132.2</v>
      </c>
      <c r="P62" s="31">
        <v>2573.6999999999998</v>
      </c>
      <c r="Q62" s="31">
        <v>0</v>
      </c>
      <c r="R62" s="31">
        <v>10319.299999999999</v>
      </c>
      <c r="S62" s="31">
        <v>0</v>
      </c>
      <c r="T62" s="149">
        <f t="shared" si="32"/>
        <v>127695.59999999999</v>
      </c>
      <c r="U62" s="31">
        <v>4328.7</v>
      </c>
      <c r="V62" s="31">
        <v>32220.400000000001</v>
      </c>
      <c r="W62" s="31">
        <v>16903</v>
      </c>
      <c r="X62" s="31">
        <v>21166.1</v>
      </c>
      <c r="Y62" s="31">
        <v>5583.2</v>
      </c>
      <c r="Z62" s="31">
        <v>4866.5</v>
      </c>
      <c r="AA62" s="31">
        <v>45143.8</v>
      </c>
      <c r="AB62" s="31">
        <v>6706.9</v>
      </c>
      <c r="AC62" s="150">
        <f t="shared" si="33"/>
        <v>136918.6</v>
      </c>
      <c r="AD62" s="151">
        <f t="shared" si="34"/>
        <v>-9223.0000000000146</v>
      </c>
      <c r="AE62" s="152">
        <f t="shared" si="35"/>
        <v>-3.13233528765521E-2</v>
      </c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</row>
    <row r="63" spans="1:56" ht="14.25" customHeight="1">
      <c r="A63" s="21">
        <v>39447</v>
      </c>
      <c r="B63" s="31">
        <v>55095.9</v>
      </c>
      <c r="C63" s="31">
        <v>2957.1</v>
      </c>
      <c r="D63" s="148">
        <f t="shared" si="30"/>
        <v>58053</v>
      </c>
      <c r="E63" s="31">
        <v>12547.5</v>
      </c>
      <c r="F63" s="31">
        <v>9862.1</v>
      </c>
      <c r="G63" s="31">
        <v>0</v>
      </c>
      <c r="H63" s="31">
        <v>1856.1</v>
      </c>
      <c r="I63" s="31">
        <v>19845.5</v>
      </c>
      <c r="J63" s="31">
        <v>17358</v>
      </c>
      <c r="K63" s="148">
        <f t="shared" si="31"/>
        <v>37203.5</v>
      </c>
      <c r="L63" s="31">
        <v>2.2000000000000002</v>
      </c>
      <c r="M63" s="31">
        <v>240.5</v>
      </c>
      <c r="N63" s="31">
        <v>5715.2</v>
      </c>
      <c r="O63" s="31">
        <v>1289.7</v>
      </c>
      <c r="P63" s="31">
        <v>2617.5</v>
      </c>
      <c r="Q63" s="31">
        <v>0</v>
      </c>
      <c r="R63" s="31">
        <v>10514.9</v>
      </c>
      <c r="S63" s="31">
        <v>0</v>
      </c>
      <c r="T63" s="149">
        <f t="shared" si="32"/>
        <v>139902.20000000001</v>
      </c>
      <c r="U63" s="31">
        <v>4216.7</v>
      </c>
      <c r="V63" s="31">
        <v>36599.599999999999</v>
      </c>
      <c r="W63" s="31">
        <v>20009.7</v>
      </c>
      <c r="X63" s="31">
        <v>23151.5</v>
      </c>
      <c r="Y63" s="31">
        <v>2827.9</v>
      </c>
      <c r="Z63" s="31">
        <v>5368.4</v>
      </c>
      <c r="AA63" s="31">
        <v>47138.7</v>
      </c>
      <c r="AB63" s="31">
        <v>7786.2</v>
      </c>
      <c r="AC63" s="150">
        <f t="shared" si="33"/>
        <v>147098.70000000001</v>
      </c>
      <c r="AD63" s="151">
        <f t="shared" si="34"/>
        <v>-7196.5</v>
      </c>
      <c r="AE63" s="152">
        <f t="shared" si="35"/>
        <v>-2.2294595711018328E-2</v>
      </c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</row>
    <row r="64" spans="1:56" ht="14.25" customHeight="1">
      <c r="A64" s="21">
        <v>39813</v>
      </c>
      <c r="B64" s="31">
        <v>58485.1</v>
      </c>
      <c r="C64" s="31">
        <v>3303.6</v>
      </c>
      <c r="D64" s="148">
        <f t="shared" si="30"/>
        <v>61788.7</v>
      </c>
      <c r="E64" s="31">
        <v>13360.3</v>
      </c>
      <c r="F64" s="31">
        <v>10062.200000000001</v>
      </c>
      <c r="G64" s="31">
        <v>0</v>
      </c>
      <c r="H64" s="31">
        <v>1973.5</v>
      </c>
      <c r="I64" s="31">
        <v>21758.1</v>
      </c>
      <c r="J64" s="31">
        <v>18945.400000000001</v>
      </c>
      <c r="K64" s="148">
        <f t="shared" si="31"/>
        <v>40703.5</v>
      </c>
      <c r="L64" s="31">
        <v>2.6</v>
      </c>
      <c r="M64" s="31">
        <v>255.4</v>
      </c>
      <c r="N64" s="31">
        <v>4744.2</v>
      </c>
      <c r="O64" s="31">
        <v>1195.8</v>
      </c>
      <c r="P64" s="31">
        <v>2759.9</v>
      </c>
      <c r="Q64" s="31">
        <v>0</v>
      </c>
      <c r="R64" s="31">
        <v>12328.6</v>
      </c>
      <c r="S64" s="31">
        <v>0</v>
      </c>
      <c r="T64" s="149">
        <f t="shared" si="32"/>
        <v>149174.70000000001</v>
      </c>
      <c r="U64" s="31">
        <v>5119.7</v>
      </c>
      <c r="V64" s="31">
        <v>38903</v>
      </c>
      <c r="W64" s="31">
        <v>21416.400000000001</v>
      </c>
      <c r="X64" s="31">
        <v>25277.8</v>
      </c>
      <c r="Y64" s="31">
        <v>4881.8</v>
      </c>
      <c r="Z64" s="31">
        <v>6206.6</v>
      </c>
      <c r="AA64" s="31">
        <v>48699.3</v>
      </c>
      <c r="AB64" s="31">
        <v>8461.1</v>
      </c>
      <c r="AC64" s="150">
        <f t="shared" si="33"/>
        <v>158965.70000000001</v>
      </c>
      <c r="AD64" s="151">
        <f t="shared" si="34"/>
        <v>-9791</v>
      </c>
      <c r="AE64" s="152">
        <f t="shared" si="35"/>
        <v>-2.8237694661230842E-2</v>
      </c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</row>
    <row r="65" spans="1:56" ht="14.25" customHeight="1">
      <c r="A65" s="21">
        <v>40178</v>
      </c>
      <c r="B65" s="31">
        <v>52842.3</v>
      </c>
      <c r="C65" s="31">
        <v>3311.1</v>
      </c>
      <c r="D65" s="148">
        <f t="shared" si="30"/>
        <v>56153.4</v>
      </c>
      <c r="E65" s="31">
        <v>12804</v>
      </c>
      <c r="F65" s="31">
        <v>8459</v>
      </c>
      <c r="G65" s="31">
        <v>1057.4000000000001</v>
      </c>
      <c r="H65" s="31">
        <v>2021.7</v>
      </c>
      <c r="I65" s="31">
        <v>21374</v>
      </c>
      <c r="J65" s="31">
        <v>18620.8</v>
      </c>
      <c r="K65" s="148">
        <f t="shared" si="31"/>
        <v>39994.800000000003</v>
      </c>
      <c r="L65" s="31">
        <v>4.2</v>
      </c>
      <c r="M65" s="31">
        <v>434.1</v>
      </c>
      <c r="N65" s="31">
        <v>4799.7</v>
      </c>
      <c r="O65" s="31">
        <v>1292.5</v>
      </c>
      <c r="P65" s="31">
        <v>2629.4</v>
      </c>
      <c r="Q65" s="31">
        <v>0</v>
      </c>
      <c r="R65" s="31">
        <v>12013.7</v>
      </c>
      <c r="S65" s="31">
        <v>0</v>
      </c>
      <c r="T65" s="149">
        <f t="shared" si="32"/>
        <v>141663.9</v>
      </c>
      <c r="U65" s="31">
        <v>4696.8</v>
      </c>
      <c r="V65" s="31">
        <v>40880.800000000003</v>
      </c>
      <c r="W65" s="31">
        <v>20005.3</v>
      </c>
      <c r="X65" s="31">
        <v>24408.5</v>
      </c>
      <c r="Y65" s="31">
        <v>3659.6</v>
      </c>
      <c r="Z65" s="31">
        <v>7341.9</v>
      </c>
      <c r="AA65" s="31">
        <v>52616</v>
      </c>
      <c r="AB65" s="31">
        <v>8060.6</v>
      </c>
      <c r="AC65" s="150">
        <f t="shared" si="33"/>
        <v>161669.50000000003</v>
      </c>
      <c r="AD65" s="151">
        <f t="shared" si="34"/>
        <v>-20005.600000000035</v>
      </c>
      <c r="AE65" s="152">
        <f t="shared" si="35"/>
        <v>-6.0481819118848534E-2</v>
      </c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</row>
    <row r="66" spans="1:56" ht="14.25" customHeight="1">
      <c r="A66" s="21">
        <v>40543</v>
      </c>
      <c r="B66" s="31">
        <v>54344.800000000003</v>
      </c>
      <c r="C66" s="31">
        <v>3476.4</v>
      </c>
      <c r="D66" s="148">
        <f t="shared" si="30"/>
        <v>57821.200000000004</v>
      </c>
      <c r="E66" s="31">
        <v>11373.4</v>
      </c>
      <c r="F66" s="31">
        <v>6346.7</v>
      </c>
      <c r="G66" s="31">
        <v>1902.5</v>
      </c>
      <c r="H66" s="31">
        <v>2083</v>
      </c>
      <c r="I66" s="31">
        <v>20783.599999999999</v>
      </c>
      <c r="J66" s="31">
        <v>17928.8</v>
      </c>
      <c r="K66" s="148">
        <f t="shared" si="31"/>
        <v>38712.399999999994</v>
      </c>
      <c r="L66" s="31">
        <v>3.2</v>
      </c>
      <c r="M66" s="31">
        <v>925.3</v>
      </c>
      <c r="N66" s="31">
        <v>3434.7</v>
      </c>
      <c r="O66" s="31">
        <v>1210.4000000000001</v>
      </c>
      <c r="P66" s="31">
        <v>2357.5</v>
      </c>
      <c r="Q66" s="31">
        <v>0</v>
      </c>
      <c r="R66" s="31">
        <v>12196.3</v>
      </c>
      <c r="S66" s="31">
        <v>0</v>
      </c>
      <c r="T66" s="149">
        <f t="shared" si="32"/>
        <v>138366.6</v>
      </c>
      <c r="U66" s="31">
        <v>8518.7999999999993</v>
      </c>
      <c r="V66" s="31">
        <v>40110.1</v>
      </c>
      <c r="W66" s="31">
        <v>12790.6</v>
      </c>
      <c r="X66" s="31">
        <v>24987.5</v>
      </c>
      <c r="Y66" s="31">
        <v>5839.7</v>
      </c>
      <c r="Z66" s="31">
        <v>7860.2</v>
      </c>
      <c r="AA66" s="31">
        <v>52126.1</v>
      </c>
      <c r="AB66" s="31">
        <v>7393.6</v>
      </c>
      <c r="AC66" s="150">
        <f t="shared" si="33"/>
        <v>159626.6</v>
      </c>
      <c r="AD66" s="151">
        <f t="shared" si="34"/>
        <v>-21260</v>
      </c>
      <c r="AE66" s="152">
        <f t="shared" si="35"/>
        <v>-6.4654585855040192E-2</v>
      </c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</row>
    <row r="67" spans="1:56" ht="14.25" customHeight="1">
      <c r="A67" s="21">
        <v>40908</v>
      </c>
      <c r="B67" s="31">
        <v>53773.9</v>
      </c>
      <c r="C67" s="31">
        <v>3532.5</v>
      </c>
      <c r="D67" s="148">
        <f t="shared" si="30"/>
        <v>57306.400000000001</v>
      </c>
      <c r="E67" s="31">
        <v>11484.7</v>
      </c>
      <c r="F67" s="31">
        <v>7740.8</v>
      </c>
      <c r="G67" s="31">
        <v>65.2</v>
      </c>
      <c r="H67" s="31">
        <v>2025.9</v>
      </c>
      <c r="I67" s="31">
        <v>20686.2</v>
      </c>
      <c r="J67" s="31">
        <v>17918.900000000001</v>
      </c>
      <c r="K67" s="148">
        <f t="shared" si="31"/>
        <v>38605.100000000006</v>
      </c>
      <c r="L67" s="31">
        <v>7.4</v>
      </c>
      <c r="M67" s="31">
        <v>1044</v>
      </c>
      <c r="N67" s="31">
        <v>2985.1</v>
      </c>
      <c r="O67" s="31">
        <v>1080.0999999999999</v>
      </c>
      <c r="P67" s="31">
        <v>2498.6999999999998</v>
      </c>
      <c r="Q67" s="31">
        <v>0</v>
      </c>
      <c r="R67" s="31">
        <v>11953.8</v>
      </c>
      <c r="S67" s="31">
        <v>0</v>
      </c>
      <c r="T67" s="149">
        <f t="shared" si="32"/>
        <v>136797.20000000001</v>
      </c>
      <c r="U67" s="31">
        <v>9622.7000000000007</v>
      </c>
      <c r="V67" s="31">
        <v>40460.199999999997</v>
      </c>
      <c r="W67" s="31">
        <v>12230.4</v>
      </c>
      <c r="X67" s="31">
        <v>26003.599999999999</v>
      </c>
      <c r="Y67" s="31">
        <v>3894.6</v>
      </c>
      <c r="Z67" s="31">
        <v>8948.1</v>
      </c>
      <c r="AA67" s="31">
        <v>54242.6</v>
      </c>
      <c r="AB67" s="31">
        <v>7763.9</v>
      </c>
      <c r="AC67" s="150">
        <f t="shared" si="33"/>
        <v>163166.1</v>
      </c>
      <c r="AD67" s="151">
        <f t="shared" si="34"/>
        <v>-26368.899999999994</v>
      </c>
      <c r="AE67" s="152">
        <f t="shared" si="35"/>
        <v>-7.9134872039829385E-2</v>
      </c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</row>
    <row r="68" spans="1:56" ht="14.25" customHeight="1">
      <c r="A68" s="21">
        <v>41274</v>
      </c>
      <c r="B68" s="31">
        <v>56335.7</v>
      </c>
      <c r="C68" s="31">
        <v>3555.9</v>
      </c>
      <c r="D68" s="148">
        <f t="shared" si="30"/>
        <v>59891.6</v>
      </c>
      <c r="E68" s="31">
        <v>12191.2</v>
      </c>
      <c r="F68" s="31">
        <v>6597.3</v>
      </c>
      <c r="G68" s="31">
        <v>38.5</v>
      </c>
      <c r="H68" s="31">
        <v>2104.5</v>
      </c>
      <c r="I68" s="31">
        <v>19771.599999999999</v>
      </c>
      <c r="J68" s="31">
        <v>18074.3</v>
      </c>
      <c r="K68" s="148">
        <f t="shared" si="31"/>
        <v>37845.899999999994</v>
      </c>
      <c r="L68" s="31">
        <v>7.4</v>
      </c>
      <c r="M68" s="31">
        <v>2718.1</v>
      </c>
      <c r="N68" s="31">
        <v>4503.2</v>
      </c>
      <c r="O68" s="31">
        <v>1172.8</v>
      </c>
      <c r="P68" s="31">
        <v>2387</v>
      </c>
      <c r="Q68" s="31">
        <v>0</v>
      </c>
      <c r="R68" s="31">
        <v>12554.2</v>
      </c>
      <c r="S68" s="31">
        <v>0</v>
      </c>
      <c r="T68" s="149">
        <f t="shared" si="32"/>
        <v>142011.69999999998</v>
      </c>
      <c r="U68" s="31">
        <v>5716.1</v>
      </c>
      <c r="V68" s="31">
        <v>39910</v>
      </c>
      <c r="W68" s="31">
        <v>12472.3</v>
      </c>
      <c r="X68" s="31">
        <v>25763.599999999999</v>
      </c>
      <c r="Y68" s="31">
        <v>4649.3</v>
      </c>
      <c r="Z68" s="31">
        <v>10192.200000000001</v>
      </c>
      <c r="AA68" s="31">
        <v>53853.599999999999</v>
      </c>
      <c r="AB68" s="31">
        <v>7148.5</v>
      </c>
      <c r="AC68" s="150">
        <f t="shared" si="33"/>
        <v>159705.60000000001</v>
      </c>
      <c r="AD68" s="151">
        <f t="shared" si="34"/>
        <v>-17693.900000000023</v>
      </c>
      <c r="AE68" s="152">
        <f t="shared" si="35"/>
        <v>-5.3535246159657067E-2</v>
      </c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</row>
    <row r="69" spans="1:56" ht="14.25" customHeight="1">
      <c r="A69" s="21">
        <v>41639</v>
      </c>
      <c r="B69" s="31">
        <v>58022.6</v>
      </c>
      <c r="C69" s="31">
        <v>3642.9</v>
      </c>
      <c r="D69" s="148">
        <f t="shared" si="30"/>
        <v>61665.5</v>
      </c>
      <c r="E69" s="31">
        <v>12761.9</v>
      </c>
      <c r="F69" s="31">
        <v>6741.8</v>
      </c>
      <c r="G69" s="31">
        <v>32</v>
      </c>
      <c r="H69" s="31">
        <v>2051.6999999999998</v>
      </c>
      <c r="I69" s="31">
        <v>18924.599999999999</v>
      </c>
      <c r="J69" s="31">
        <v>18224.7</v>
      </c>
      <c r="K69" s="148">
        <f t="shared" si="31"/>
        <v>37149.300000000003</v>
      </c>
      <c r="L69" s="31">
        <v>6.1</v>
      </c>
      <c r="M69" s="31">
        <v>895.3</v>
      </c>
      <c r="N69" s="31">
        <v>4340.1000000000004</v>
      </c>
      <c r="O69" s="31">
        <v>1284</v>
      </c>
      <c r="P69" s="31">
        <v>2283.4</v>
      </c>
      <c r="Q69" s="31">
        <v>0</v>
      </c>
      <c r="R69" s="31">
        <v>12928.1</v>
      </c>
      <c r="S69" s="31">
        <v>0</v>
      </c>
      <c r="T69" s="149">
        <f t="shared" si="32"/>
        <v>142139.20000000001</v>
      </c>
      <c r="U69" s="31">
        <v>4361.8</v>
      </c>
      <c r="V69" s="31">
        <v>38823.199999999997</v>
      </c>
      <c r="W69" s="31">
        <v>12995.2</v>
      </c>
      <c r="X69" s="31">
        <v>26343</v>
      </c>
      <c r="Y69" s="31">
        <v>6293.4</v>
      </c>
      <c r="Z69" s="31">
        <v>10383.9</v>
      </c>
      <c r="AA69" s="31">
        <v>54865.5</v>
      </c>
      <c r="AB69" s="31">
        <v>5750.5</v>
      </c>
      <c r="AC69" s="150">
        <f t="shared" si="33"/>
        <v>159816.5</v>
      </c>
      <c r="AD69" s="151">
        <f t="shared" si="34"/>
        <v>-17677.299999999988</v>
      </c>
      <c r="AE69" s="152">
        <f t="shared" si="35"/>
        <v>-5.3372048352301513E-2</v>
      </c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</row>
    <row r="70" spans="1:56" ht="14.25" customHeight="1">
      <c r="A70" s="21">
        <v>42004</v>
      </c>
      <c r="B70" s="31">
        <v>57545.1</v>
      </c>
      <c r="C70" s="31">
        <v>3744.6</v>
      </c>
      <c r="D70" s="148">
        <f t="shared" si="30"/>
        <v>61289.7</v>
      </c>
      <c r="E70" s="31">
        <v>12821.3</v>
      </c>
      <c r="F70" s="31">
        <v>5824.7</v>
      </c>
      <c r="G70" s="31">
        <v>119.3</v>
      </c>
      <c r="H70" s="31">
        <v>2075.6999999999998</v>
      </c>
      <c r="I70" s="31">
        <v>20278.099999999999</v>
      </c>
      <c r="J70" s="31">
        <v>18908.599999999999</v>
      </c>
      <c r="K70" s="148">
        <f t="shared" si="31"/>
        <v>39186.699999999997</v>
      </c>
      <c r="L70" s="31">
        <v>9.6</v>
      </c>
      <c r="M70" s="31">
        <v>938.5</v>
      </c>
      <c r="N70" s="31">
        <v>4719.8999999999996</v>
      </c>
      <c r="O70" s="31">
        <v>1695.7</v>
      </c>
      <c r="P70" s="31">
        <v>2446.5</v>
      </c>
      <c r="Q70" s="31">
        <v>0</v>
      </c>
      <c r="R70" s="31">
        <v>12626.5</v>
      </c>
      <c r="S70" s="31">
        <v>0</v>
      </c>
      <c r="T70" s="149">
        <f t="shared" si="32"/>
        <v>143754.1</v>
      </c>
      <c r="U70" s="31">
        <v>5641.5</v>
      </c>
      <c r="V70" s="31">
        <v>38011.4</v>
      </c>
      <c r="W70" s="31">
        <v>12732.5</v>
      </c>
      <c r="X70" s="31">
        <v>27463.4</v>
      </c>
      <c r="Y70" s="31">
        <v>5158.3</v>
      </c>
      <c r="Z70" s="31">
        <v>11388.5</v>
      </c>
      <c r="AA70" s="31">
        <v>56045.7</v>
      </c>
      <c r="AB70" s="31">
        <v>5037.8</v>
      </c>
      <c r="AC70" s="150">
        <f t="shared" si="33"/>
        <v>161479.09999999998</v>
      </c>
      <c r="AD70" s="151">
        <f t="shared" si="34"/>
        <v>-17724.999999999971</v>
      </c>
      <c r="AE70" s="152">
        <f t="shared" si="35"/>
        <v>-5.3494453375993636E-2</v>
      </c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</row>
    <row r="71" spans="1:56" ht="14.25" customHeight="1">
      <c r="A71" s="21">
        <v>42369</v>
      </c>
      <c r="B71" s="31">
        <v>60488.1</v>
      </c>
      <c r="C71" s="31">
        <v>4346.6000000000004</v>
      </c>
      <c r="D71" s="148">
        <f t="shared" si="30"/>
        <v>64834.7</v>
      </c>
      <c r="E71" s="31">
        <v>12038.6</v>
      </c>
      <c r="F71" s="31">
        <v>6362.6</v>
      </c>
      <c r="G71" s="31">
        <v>306.3</v>
      </c>
      <c r="H71" s="31">
        <v>2109.3000000000002</v>
      </c>
      <c r="I71" s="31">
        <v>21062.9</v>
      </c>
      <c r="J71" s="31">
        <v>19651.5</v>
      </c>
      <c r="K71" s="148">
        <f t="shared" si="31"/>
        <v>40714.400000000001</v>
      </c>
      <c r="L71" s="31">
        <v>10.4</v>
      </c>
      <c r="M71" s="31">
        <v>1671.9</v>
      </c>
      <c r="N71" s="31">
        <v>7911.1</v>
      </c>
      <c r="O71" s="31">
        <v>1078.9000000000001</v>
      </c>
      <c r="P71" s="31">
        <v>2255.1</v>
      </c>
      <c r="Q71" s="31">
        <v>0</v>
      </c>
      <c r="R71" s="31">
        <v>14652.8</v>
      </c>
      <c r="S71" s="31">
        <v>0</v>
      </c>
      <c r="T71" s="149">
        <f t="shared" si="32"/>
        <v>153946.09999999998</v>
      </c>
      <c r="U71" s="31">
        <v>5005.8999999999996</v>
      </c>
      <c r="V71" s="31">
        <v>38987.5</v>
      </c>
      <c r="W71" s="31">
        <v>11829.4</v>
      </c>
      <c r="X71" s="31">
        <v>27950.400000000001</v>
      </c>
      <c r="Y71" s="31">
        <v>7960.1</v>
      </c>
      <c r="Z71" s="31">
        <v>11686.3</v>
      </c>
      <c r="AA71" s="31">
        <v>57742</v>
      </c>
      <c r="AB71" s="31">
        <v>4045.4</v>
      </c>
      <c r="AC71" s="150">
        <f t="shared" si="33"/>
        <v>165207.00000000003</v>
      </c>
      <c r="AD71" s="151">
        <f t="shared" si="34"/>
        <v>-11260.900000000052</v>
      </c>
      <c r="AE71" s="152">
        <f t="shared" si="35"/>
        <v>-3.3149890789207923E-2</v>
      </c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</row>
    <row r="72" spans="1:56" ht="14.25" customHeight="1">
      <c r="A72" s="21">
        <v>42735</v>
      </c>
      <c r="B72" s="31">
        <v>63093.5</v>
      </c>
      <c r="C72" s="31">
        <v>4526.6000000000004</v>
      </c>
      <c r="D72" s="148">
        <f t="shared" si="30"/>
        <v>67620.100000000006</v>
      </c>
      <c r="E72" s="31">
        <v>12765.3</v>
      </c>
      <c r="F72" s="31">
        <v>7745.2</v>
      </c>
      <c r="G72" s="31">
        <v>327.3</v>
      </c>
      <c r="H72" s="31">
        <v>2044.9</v>
      </c>
      <c r="I72" s="31">
        <v>20456.900000000001</v>
      </c>
      <c r="J72" s="31">
        <v>21273.1</v>
      </c>
      <c r="K72" s="148">
        <f t="shared" si="31"/>
        <v>41730</v>
      </c>
      <c r="L72" s="31">
        <v>14.2</v>
      </c>
      <c r="M72" s="31">
        <v>2429.4</v>
      </c>
      <c r="N72" s="31">
        <v>9225.5</v>
      </c>
      <c r="O72" s="31">
        <v>888.3</v>
      </c>
      <c r="P72" s="31">
        <v>2698.6</v>
      </c>
      <c r="Q72" s="31">
        <v>0</v>
      </c>
      <c r="R72" s="31">
        <v>15669.1</v>
      </c>
      <c r="S72" s="31">
        <v>0</v>
      </c>
      <c r="T72" s="149">
        <f t="shared" si="32"/>
        <v>163157.9</v>
      </c>
      <c r="U72" s="31">
        <v>6261.6</v>
      </c>
      <c r="V72" s="31">
        <v>40066.400000000001</v>
      </c>
      <c r="W72" s="31">
        <v>12278</v>
      </c>
      <c r="X72" s="31">
        <v>28786.1</v>
      </c>
      <c r="Y72" s="31">
        <v>8094.4</v>
      </c>
      <c r="Z72" s="31">
        <v>10863.8</v>
      </c>
      <c r="AA72" s="31">
        <v>56026.3</v>
      </c>
      <c r="AB72" s="31">
        <v>4665.6000000000004</v>
      </c>
      <c r="AC72" s="150">
        <f t="shared" si="33"/>
        <v>167042.20000000001</v>
      </c>
      <c r="AD72" s="151">
        <f t="shared" si="34"/>
        <v>-3884.3000000000175</v>
      </c>
      <c r="AE72" s="152">
        <f t="shared" si="35"/>
        <v>-1.1061064160978181E-2</v>
      </c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</row>
    <row r="73" spans="1:56" ht="14.25" customHeight="1">
      <c r="A73" s="21">
        <v>43100</v>
      </c>
      <c r="B73" s="31">
        <v>67313.3</v>
      </c>
      <c r="C73" s="31">
        <v>4210.6000000000004</v>
      </c>
      <c r="D73" s="148">
        <f t="shared" si="30"/>
        <v>71523.900000000009</v>
      </c>
      <c r="E73" s="31">
        <v>12097.8</v>
      </c>
      <c r="F73" s="31">
        <v>8462.1</v>
      </c>
      <c r="G73" s="31">
        <v>340.09999999999997</v>
      </c>
      <c r="H73" s="31">
        <v>2088.6999999999998</v>
      </c>
      <c r="I73" s="31">
        <v>21216.7</v>
      </c>
      <c r="J73" s="31">
        <v>22417.1</v>
      </c>
      <c r="K73" s="148">
        <f t="shared" si="31"/>
        <v>43633.8</v>
      </c>
      <c r="L73" s="31">
        <v>8.3000000000000007</v>
      </c>
      <c r="M73" s="31">
        <v>1614</v>
      </c>
      <c r="N73" s="31">
        <v>10113.799999999999</v>
      </c>
      <c r="O73" s="31">
        <v>899.3</v>
      </c>
      <c r="P73" s="31">
        <v>2805.7</v>
      </c>
      <c r="Q73" s="31">
        <v>0</v>
      </c>
      <c r="R73" s="31">
        <v>15526.6</v>
      </c>
      <c r="S73" s="31">
        <v>0</v>
      </c>
      <c r="T73" s="149">
        <f t="shared" si="32"/>
        <v>169114.10000000003</v>
      </c>
      <c r="U73" s="31">
        <v>4714.5</v>
      </c>
      <c r="V73" s="31">
        <v>41760.6</v>
      </c>
      <c r="W73" s="31">
        <v>10116.1</v>
      </c>
      <c r="X73" s="31">
        <v>29481</v>
      </c>
      <c r="Y73" s="31">
        <v>7535.5</v>
      </c>
      <c r="Z73" s="31">
        <v>9793</v>
      </c>
      <c r="AA73" s="31">
        <v>57188.6</v>
      </c>
      <c r="AB73" s="31">
        <v>5611</v>
      </c>
      <c r="AC73" s="150">
        <f t="shared" si="33"/>
        <v>166200.29999999999</v>
      </c>
      <c r="AD73" s="151">
        <f t="shared" si="34"/>
        <v>2913.8000000000466</v>
      </c>
      <c r="AE73" s="152">
        <f t="shared" si="35"/>
        <v>7.9519421094693399E-3</v>
      </c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</row>
    <row r="74" spans="1:56" ht="14.25" customHeight="1">
      <c r="A74" s="21">
        <v>43465</v>
      </c>
      <c r="B74" s="31">
        <v>72248.3</v>
      </c>
      <c r="C74" s="31">
        <v>4417.8</v>
      </c>
      <c r="D74" s="148">
        <f t="shared" si="30"/>
        <v>76666.100000000006</v>
      </c>
      <c r="E74" s="31">
        <v>13582.6</v>
      </c>
      <c r="F74" s="31">
        <v>8730.2000000000007</v>
      </c>
      <c r="G74" s="31">
        <v>351.2</v>
      </c>
      <c r="H74" s="31">
        <v>2111.6</v>
      </c>
      <c r="I74" s="31">
        <v>22066.5</v>
      </c>
      <c r="J74" s="31">
        <v>23841.200000000001</v>
      </c>
      <c r="K74" s="148">
        <f t="shared" si="31"/>
        <v>45907.7</v>
      </c>
      <c r="L74" s="31">
        <v>8.4</v>
      </c>
      <c r="M74" s="31">
        <v>2137.3000000000002</v>
      </c>
      <c r="N74" s="31">
        <v>7748.3</v>
      </c>
      <c r="O74" s="31">
        <v>844.8</v>
      </c>
      <c r="P74" s="31">
        <v>2512.4</v>
      </c>
      <c r="Q74" s="31">
        <v>0</v>
      </c>
      <c r="R74" s="31">
        <v>16597.8</v>
      </c>
      <c r="S74" s="31">
        <v>0</v>
      </c>
      <c r="T74" s="149">
        <f t="shared" si="32"/>
        <v>177198.40000000005</v>
      </c>
      <c r="U74" s="31">
        <v>6909.9</v>
      </c>
      <c r="V74" s="31">
        <v>44491.4</v>
      </c>
      <c r="W74" s="31">
        <v>13603.1</v>
      </c>
      <c r="X74" s="31">
        <v>30844.1</v>
      </c>
      <c r="Y74" s="31">
        <v>5176.3</v>
      </c>
      <c r="Z74" s="31">
        <v>8932</v>
      </c>
      <c r="AA74" s="31">
        <v>59516.5</v>
      </c>
      <c r="AB74" s="31">
        <v>6733.3</v>
      </c>
      <c r="AC74" s="150">
        <f t="shared" si="33"/>
        <v>176206.59999999998</v>
      </c>
      <c r="AD74" s="151">
        <f t="shared" si="34"/>
        <v>991.80000000007567</v>
      </c>
      <c r="AE74" s="152">
        <f t="shared" si="35"/>
        <v>2.5897925323540715E-3</v>
      </c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</row>
    <row r="75" spans="1:56" ht="14.25" customHeight="1">
      <c r="A75" s="164">
        <v>43830</v>
      </c>
      <c r="B75" s="165">
        <v>76224</v>
      </c>
      <c r="C75" s="165">
        <v>5065</v>
      </c>
      <c r="D75" s="166">
        <f t="shared" si="30"/>
        <v>81289</v>
      </c>
      <c r="E75" s="167">
        <f t="shared" ref="E75:G75" si="36">E74*(1+$E$94)</f>
        <v>14446.135489763501</v>
      </c>
      <c r="F75" s="167">
        <f t="shared" si="36"/>
        <v>9285.236409283445</v>
      </c>
      <c r="G75" s="167">
        <f t="shared" si="36"/>
        <v>373.52810095305324</v>
      </c>
      <c r="H75" s="167">
        <v>2151.6999999999998</v>
      </c>
      <c r="I75" s="165">
        <v>22417</v>
      </c>
      <c r="J75" s="165">
        <v>24947</v>
      </c>
      <c r="K75" s="169">
        <v>47364</v>
      </c>
      <c r="L75" s="165">
        <v>13</v>
      </c>
      <c r="M75" s="165">
        <v>3703</v>
      </c>
      <c r="N75" s="165">
        <v>9631</v>
      </c>
      <c r="O75" s="165">
        <v>839</v>
      </c>
      <c r="P75" s="165">
        <v>2640</v>
      </c>
      <c r="Q75" s="170">
        <v>0</v>
      </c>
      <c r="R75" s="165">
        <v>17970</v>
      </c>
      <c r="S75" s="170">
        <v>0</v>
      </c>
      <c r="T75" s="171">
        <f t="shared" si="32"/>
        <v>189705.60000000001</v>
      </c>
      <c r="U75" s="165">
        <v>7541</v>
      </c>
      <c r="V75" s="165">
        <v>47486</v>
      </c>
      <c r="W75" s="165">
        <v>17322</v>
      </c>
      <c r="X75" s="165">
        <v>33329</v>
      </c>
      <c r="Y75" s="165">
        <v>5371</v>
      </c>
      <c r="Z75" s="165">
        <v>8894</v>
      </c>
      <c r="AA75" s="165">
        <v>62205</v>
      </c>
      <c r="AB75" s="165">
        <v>6195</v>
      </c>
      <c r="AC75" s="172">
        <f t="shared" si="33"/>
        <v>188343</v>
      </c>
      <c r="AD75" s="151">
        <f t="shared" si="34"/>
        <v>1362.6000000000058</v>
      </c>
      <c r="AE75" s="152">
        <f t="shared" si="35"/>
        <v>3.4056264030558211E-3</v>
      </c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</row>
    <row r="76" spans="1:56" ht="14.25" customHeight="1">
      <c r="A76" s="21">
        <v>44196</v>
      </c>
      <c r="B76" s="174"/>
      <c r="C76" s="174"/>
      <c r="D76" s="175">
        <f>SUM(bdp!AV109:AV112)*21%</f>
        <v>59264.876075622567</v>
      </c>
      <c r="E76" s="90">
        <f>AVERAGE(nezaposlenost!BK27:BN27)*AVERAGE(place!AA91:AA94)*12/1000000*9%</f>
        <v>13330.1523437751</v>
      </c>
      <c r="F76" s="69">
        <f>F75*60%</f>
        <v>5571.1418455700668</v>
      </c>
      <c r="G76" s="90">
        <f t="shared" ref="G76:H76" si="37">G75</f>
        <v>373.52810095305324</v>
      </c>
      <c r="H76" s="90">
        <f t="shared" si="37"/>
        <v>2151.6999999999998</v>
      </c>
      <c r="I76" s="174"/>
      <c r="J76" s="174"/>
      <c r="K76" s="175">
        <f>AVERAGE(nezaposlenost!BK27:BN27)*AVERAGE(place!AA91:AA94)*12/1000000*29%</f>
        <v>42952.713107719763</v>
      </c>
      <c r="L76" s="175">
        <f t="shared" ref="L76:S76" si="38">L75</f>
        <v>13</v>
      </c>
      <c r="M76" s="176">
        <f t="shared" si="38"/>
        <v>3703</v>
      </c>
      <c r="N76" s="176">
        <f>N75+8800</f>
        <v>18431</v>
      </c>
      <c r="O76" s="176">
        <f t="shared" si="38"/>
        <v>839</v>
      </c>
      <c r="P76" s="176">
        <f t="shared" si="38"/>
        <v>2640</v>
      </c>
      <c r="Q76" s="176">
        <f t="shared" si="38"/>
        <v>0</v>
      </c>
      <c r="R76" s="176">
        <f t="shared" si="38"/>
        <v>17970</v>
      </c>
      <c r="S76" s="176">
        <f t="shared" si="38"/>
        <v>0</v>
      </c>
      <c r="T76" s="177">
        <f t="shared" si="32"/>
        <v>167240.11147364054</v>
      </c>
      <c r="U76" s="90">
        <f>U75+10000</f>
        <v>17541</v>
      </c>
      <c r="V76" s="90">
        <f>V75*103%</f>
        <v>48910.58</v>
      </c>
      <c r="W76" s="90">
        <f>W75</f>
        <v>17322</v>
      </c>
      <c r="X76" s="90">
        <f>X75*95%</f>
        <v>31662.55</v>
      </c>
      <c r="Y76" s="90">
        <f t="shared" ref="Y76:Z76" si="39">Y75</f>
        <v>5371</v>
      </c>
      <c r="Z76" s="90">
        <f t="shared" si="39"/>
        <v>8894</v>
      </c>
      <c r="AA76" s="178">
        <v>66425</v>
      </c>
      <c r="AB76" s="90">
        <f>AB75</f>
        <v>6195</v>
      </c>
      <c r="AC76" s="179">
        <f t="shared" si="33"/>
        <v>202321.13</v>
      </c>
      <c r="AD76" s="151">
        <f t="shared" si="34"/>
        <v>-35081.018526359461</v>
      </c>
      <c r="AE76" s="152">
        <f t="shared" si="35"/>
        <v>-0.11409904091054285</v>
      </c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</row>
    <row r="77" spans="1:56" ht="14.25" customHeight="1">
      <c r="M77" s="356" t="s">
        <v>329</v>
      </c>
      <c r="N77" s="357"/>
      <c r="O77" s="357"/>
      <c r="P77" s="357"/>
      <c r="Q77" s="357"/>
      <c r="R77" s="357"/>
      <c r="S77" s="358"/>
      <c r="U77" s="373" t="s">
        <v>330</v>
      </c>
      <c r="V77" s="357"/>
      <c r="W77" s="357"/>
      <c r="X77" s="357"/>
      <c r="Y77" s="357"/>
      <c r="Z77" s="357"/>
      <c r="AA77" s="357"/>
      <c r="AB77" s="35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</row>
    <row r="78" spans="1:56" ht="14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180"/>
      <c r="N78" s="180"/>
      <c r="O78" s="180"/>
      <c r="P78" s="180"/>
      <c r="Q78" s="180"/>
      <c r="R78" s="180"/>
      <c r="S78" s="180"/>
      <c r="T78" s="34"/>
      <c r="U78" s="180"/>
      <c r="V78" s="180"/>
      <c r="W78" s="180"/>
      <c r="X78" s="180"/>
      <c r="Y78" s="180"/>
      <c r="Z78" s="180"/>
      <c r="AA78" s="180"/>
      <c r="AB78" s="180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</row>
    <row r="79" spans="1:56" ht="14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180"/>
      <c r="N79" s="180"/>
      <c r="O79" s="180"/>
      <c r="P79" s="180"/>
      <c r="Q79" s="180"/>
      <c r="R79" s="180"/>
      <c r="S79" s="180"/>
      <c r="T79" s="34"/>
      <c r="U79" s="180"/>
      <c r="V79" s="180"/>
      <c r="W79" s="180"/>
      <c r="X79" s="180"/>
      <c r="Y79" s="180"/>
      <c r="Z79" s="180"/>
      <c r="AA79" s="180"/>
      <c r="AB79" s="180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</row>
    <row r="80" spans="1:56" ht="14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180"/>
      <c r="N80" s="180"/>
      <c r="O80" s="180"/>
      <c r="P80" s="180"/>
      <c r="Q80" s="180"/>
      <c r="R80" s="180"/>
      <c r="S80" s="180"/>
      <c r="T80" s="34"/>
      <c r="U80" s="180"/>
      <c r="V80" s="180"/>
      <c r="W80" s="180"/>
      <c r="X80" s="180"/>
      <c r="Y80" s="180"/>
      <c r="Z80" s="180"/>
      <c r="AA80" s="180"/>
      <c r="AB80" s="180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</row>
    <row r="81" spans="1:56" ht="14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180"/>
      <c r="N81" s="180"/>
      <c r="O81" s="180"/>
      <c r="P81" s="180"/>
      <c r="Q81" s="180"/>
      <c r="R81" s="180"/>
      <c r="S81" s="180"/>
      <c r="T81" s="34"/>
      <c r="U81" s="180"/>
      <c r="V81" s="180"/>
      <c r="W81" s="180"/>
      <c r="X81" s="180"/>
      <c r="Y81" s="180"/>
      <c r="Z81" s="180"/>
      <c r="AA81" s="180"/>
      <c r="AB81" s="180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</row>
    <row r="82" spans="1:56" ht="14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180"/>
      <c r="N82" s="180"/>
      <c r="O82" s="180"/>
      <c r="P82" s="180"/>
      <c r="Q82" s="180"/>
      <c r="R82" s="180"/>
      <c r="S82" s="180"/>
      <c r="T82" s="34"/>
      <c r="U82" s="180"/>
      <c r="V82" s="180"/>
      <c r="W82" s="180"/>
      <c r="X82" s="180"/>
      <c r="Y82" s="180"/>
      <c r="Z82" s="180"/>
      <c r="AA82" s="180"/>
      <c r="AB82" s="180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</row>
    <row r="83" spans="1:56" ht="14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180"/>
      <c r="N83" s="180"/>
      <c r="O83" s="180"/>
      <c r="P83" s="180"/>
      <c r="Q83" s="180"/>
      <c r="R83" s="180"/>
      <c r="S83" s="180"/>
      <c r="T83" s="34"/>
      <c r="U83" s="180"/>
      <c r="V83" s="180"/>
      <c r="W83" s="180"/>
      <c r="X83" s="180"/>
      <c r="Y83" s="180"/>
      <c r="Z83" s="180"/>
      <c r="AA83" s="180"/>
      <c r="AB83" s="180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</row>
    <row r="84" spans="1:56" ht="14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180"/>
      <c r="N84" s="180"/>
      <c r="O84" s="180"/>
      <c r="P84" s="180"/>
      <c r="Q84" s="180"/>
      <c r="R84" s="180"/>
      <c r="S84" s="180"/>
      <c r="T84" s="34"/>
      <c r="U84" s="180"/>
      <c r="V84" s="180"/>
      <c r="W84" s="180"/>
      <c r="X84" s="180"/>
      <c r="Y84" s="180"/>
      <c r="Z84" s="180"/>
      <c r="AA84" s="180"/>
      <c r="AB84" s="180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</row>
    <row r="85" spans="1:56" ht="14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180"/>
      <c r="N85" s="180"/>
      <c r="O85" s="180"/>
      <c r="P85" s="180"/>
      <c r="Q85" s="180"/>
      <c r="R85" s="180"/>
      <c r="S85" s="180"/>
      <c r="T85" s="34"/>
      <c r="U85" s="180"/>
      <c r="V85" s="180"/>
      <c r="W85" s="180"/>
      <c r="X85" s="180"/>
      <c r="Y85" s="180"/>
      <c r="Z85" s="180"/>
      <c r="AA85" s="180"/>
      <c r="AB85" s="180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</row>
    <row r="86" spans="1:56" ht="14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180"/>
      <c r="N86" s="180"/>
      <c r="O86" s="180"/>
      <c r="P86" s="180"/>
      <c r="Q86" s="180"/>
      <c r="R86" s="180"/>
      <c r="S86" s="180"/>
      <c r="T86" s="34"/>
      <c r="U86" s="180"/>
      <c r="V86" s="180"/>
      <c r="W86" s="180"/>
      <c r="X86" s="180"/>
      <c r="Y86" s="180"/>
      <c r="Z86" s="180"/>
      <c r="AA86" s="180"/>
      <c r="AB86" s="180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</row>
    <row r="87" spans="1:56" ht="14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80"/>
      <c r="N87" s="180"/>
      <c r="O87" s="180"/>
      <c r="P87" s="180"/>
      <c r="Q87" s="180"/>
      <c r="R87" s="180"/>
      <c r="S87" s="180"/>
      <c r="T87" s="34"/>
      <c r="U87" s="180"/>
      <c r="V87" s="180"/>
      <c r="W87" s="180"/>
      <c r="X87" s="180"/>
      <c r="Y87" s="180"/>
      <c r="Z87" s="180"/>
      <c r="AA87" s="180"/>
      <c r="AB87" s="180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</row>
    <row r="88" spans="1:56" ht="14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80"/>
      <c r="N88" s="180"/>
      <c r="O88" s="180"/>
      <c r="P88" s="180"/>
      <c r="Q88" s="180"/>
      <c r="R88" s="180"/>
      <c r="S88" s="180"/>
      <c r="T88" s="34"/>
      <c r="U88" s="180"/>
      <c r="V88" s="180"/>
      <c r="W88" s="180"/>
      <c r="X88" s="180"/>
      <c r="Y88" s="180"/>
      <c r="Z88" s="180"/>
      <c r="AA88" s="180"/>
      <c r="AB88" s="180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</row>
    <row r="89" spans="1:56" ht="14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80"/>
      <c r="N89" s="180"/>
      <c r="O89" s="180"/>
      <c r="P89" s="180"/>
      <c r="Q89" s="180"/>
      <c r="R89" s="180"/>
      <c r="S89" s="180"/>
      <c r="T89" s="34"/>
      <c r="U89" s="180"/>
      <c r="V89" s="180"/>
      <c r="W89" s="180"/>
      <c r="X89" s="180"/>
      <c r="Y89" s="180"/>
      <c r="Z89" s="180"/>
      <c r="AA89" s="180"/>
      <c r="AB89" s="180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</row>
    <row r="90" spans="1:56" ht="14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80"/>
      <c r="N90" s="180"/>
      <c r="O90" s="180"/>
      <c r="P90" s="180"/>
      <c r="Q90" s="180"/>
      <c r="R90" s="180"/>
      <c r="S90" s="180"/>
      <c r="T90" s="34"/>
      <c r="U90" s="180"/>
      <c r="V90" s="180"/>
      <c r="W90" s="180"/>
      <c r="X90" s="180"/>
      <c r="Y90" s="180"/>
      <c r="Z90" s="180"/>
      <c r="AA90" s="180"/>
      <c r="AB90" s="180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</row>
    <row r="91" spans="1:56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80"/>
      <c r="N91" s="180"/>
      <c r="O91" s="180"/>
      <c r="P91" s="180"/>
      <c r="Q91" s="180"/>
      <c r="R91" s="180"/>
      <c r="S91" s="180"/>
      <c r="T91" s="34"/>
      <c r="U91" s="180"/>
      <c r="V91" s="180"/>
      <c r="W91" s="180"/>
      <c r="X91" s="180"/>
      <c r="Y91" s="180"/>
      <c r="Z91" s="180"/>
      <c r="AA91" s="180"/>
      <c r="AB91" s="180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</row>
    <row r="92" spans="1:56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80"/>
      <c r="N92" s="180"/>
      <c r="O92" s="180"/>
      <c r="P92" s="180"/>
      <c r="Q92" s="180"/>
      <c r="R92" s="180"/>
      <c r="S92" s="180"/>
      <c r="T92" s="34"/>
      <c r="U92" s="180"/>
      <c r="V92" s="180"/>
      <c r="W92" s="180"/>
      <c r="X92" s="180"/>
      <c r="Y92" s="180"/>
      <c r="Z92" s="180"/>
      <c r="AA92" s="180"/>
      <c r="AB92" s="180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</row>
    <row r="93" spans="1:56" ht="14.25" customHeight="1">
      <c r="E93" s="167">
        <v>24104.9</v>
      </c>
    </row>
    <row r="94" spans="1:56" ht="14.25" customHeight="1">
      <c r="E94" s="206">
        <f>E93/SUM(E22:G22)-1</f>
        <v>6.3576597246734812E-2</v>
      </c>
    </row>
    <row r="95" spans="1:56" ht="14.25" customHeight="1"/>
    <row r="96" spans="1:56" ht="14.25" customHeight="1"/>
    <row r="97" spans="1:27" ht="14.25" customHeight="1">
      <c r="A97" s="21" t="s">
        <v>26</v>
      </c>
      <c r="B97" s="137" t="s">
        <v>253</v>
      </c>
      <c r="C97" s="2" t="s">
        <v>177</v>
      </c>
      <c r="D97" s="2" t="s">
        <v>492</v>
      </c>
      <c r="E97" s="139" t="s">
        <v>242</v>
      </c>
      <c r="I97" s="21" t="s">
        <v>26</v>
      </c>
      <c r="J97" s="140" t="s">
        <v>244</v>
      </c>
      <c r="K97" s="2" t="s">
        <v>493</v>
      </c>
      <c r="L97" s="2" t="s">
        <v>494</v>
      </c>
      <c r="M97" s="2" t="s">
        <v>495</v>
      </c>
      <c r="N97" s="2" t="s">
        <v>496</v>
      </c>
      <c r="P97" s="2" t="s">
        <v>9</v>
      </c>
      <c r="Q97" s="137" t="s">
        <v>268</v>
      </c>
      <c r="R97" s="2" t="s">
        <v>496</v>
      </c>
      <c r="T97" s="137"/>
      <c r="U97" s="207"/>
      <c r="V97" s="208" t="s">
        <v>498</v>
      </c>
      <c r="W97" s="207" t="s">
        <v>499</v>
      </c>
      <c r="X97" s="207" t="s">
        <v>500</v>
      </c>
      <c r="Y97" s="137" t="s">
        <v>269</v>
      </c>
    </row>
    <row r="98" spans="1:27" ht="14.25" customHeight="1">
      <c r="A98" s="21">
        <v>37621</v>
      </c>
      <c r="B98" s="31">
        <v>39417.599999999999</v>
      </c>
      <c r="C98" s="6">
        <f>SUM(bdp!AP37:AP40)</f>
        <v>174599.30000000002</v>
      </c>
      <c r="D98" s="6">
        <f>SUM(bdp!AQ37:AQ40)</f>
        <v>36486.198981964175</v>
      </c>
      <c r="E98" s="31">
        <f t="shared" ref="E98:E115" si="40">B6+C6</f>
        <v>41334.699999999997</v>
      </c>
      <c r="F98" s="105">
        <f t="shared" ref="F98:F115" si="41">E98/C98</f>
        <v>0.23674035348366226</v>
      </c>
      <c r="G98" s="105">
        <f t="shared" ref="G98:G115" si="42">E98/D98-1</f>
        <v>0.13288588982460259</v>
      </c>
      <c r="I98" s="21">
        <v>37621</v>
      </c>
      <c r="J98" s="148">
        <v>25200.1</v>
      </c>
      <c r="K98" s="91"/>
      <c r="N98" s="21"/>
      <c r="P98" s="21">
        <v>37621</v>
      </c>
      <c r="Q98" s="31">
        <v>8030.2</v>
      </c>
      <c r="R98" s="31"/>
      <c r="T98" s="31"/>
      <c r="U98" s="211" t="s">
        <v>504</v>
      </c>
      <c r="V98" s="212">
        <v>157</v>
      </c>
      <c r="W98" s="213">
        <v>158</v>
      </c>
      <c r="X98" s="213">
        <v>159</v>
      </c>
    </row>
    <row r="99" spans="1:27" ht="14.25" customHeight="1">
      <c r="A99" s="21">
        <v>37986</v>
      </c>
      <c r="B99" s="31">
        <v>42404.4</v>
      </c>
      <c r="C99" s="6">
        <f>SUM(bdp!AP41:AP44)</f>
        <v>193935.3</v>
      </c>
      <c r="D99" s="6">
        <f>SUM(bdp!AQ41:AQ44)</f>
        <v>38637.824587919269</v>
      </c>
      <c r="E99" s="31">
        <f t="shared" si="40"/>
        <v>44478.8</v>
      </c>
      <c r="F99" s="105">
        <f t="shared" si="41"/>
        <v>0.22934865390674108</v>
      </c>
      <c r="G99" s="105">
        <f t="shared" si="42"/>
        <v>0.15117247087215691</v>
      </c>
      <c r="I99" s="21">
        <v>37986</v>
      </c>
      <c r="J99" s="148">
        <v>27424.6</v>
      </c>
      <c r="K99" s="91"/>
      <c r="M99" s="21"/>
      <c r="N99" s="31"/>
      <c r="O99" s="31"/>
      <c r="P99" s="21">
        <v>37986</v>
      </c>
      <c r="Q99" s="31">
        <v>8440</v>
      </c>
      <c r="R99" s="31"/>
      <c r="T99" s="31"/>
      <c r="U99" s="211" t="s">
        <v>508</v>
      </c>
      <c r="V99" s="212">
        <v>145</v>
      </c>
      <c r="W99" s="213">
        <v>146</v>
      </c>
      <c r="X99" s="213">
        <v>147</v>
      </c>
    </row>
    <row r="100" spans="1:27" ht="14.25" customHeight="1">
      <c r="A100" s="21">
        <v>38352</v>
      </c>
      <c r="B100" s="31">
        <v>44086.8</v>
      </c>
      <c r="C100" s="6">
        <f>SUM(bdp!AP45:AP48)</f>
        <v>210898.3</v>
      </c>
      <c r="D100" s="6">
        <f>SUM(bdp!AQ45:AQ48)</f>
        <v>40095</v>
      </c>
      <c r="E100" s="31">
        <f t="shared" si="40"/>
        <v>46439.700000000004</v>
      </c>
      <c r="F100" s="105">
        <f t="shared" si="41"/>
        <v>0.22019949900022906</v>
      </c>
      <c r="G100" s="105">
        <f t="shared" si="42"/>
        <v>0.15824167601945383</v>
      </c>
      <c r="I100" s="21">
        <v>38352</v>
      </c>
      <c r="J100" s="148">
        <v>29477.599999999999</v>
      </c>
      <c r="K100" s="91"/>
      <c r="M100" s="21"/>
      <c r="N100" s="31"/>
      <c r="O100" s="31"/>
      <c r="P100" s="21">
        <v>38352</v>
      </c>
      <c r="Q100" s="31">
        <v>9258.6</v>
      </c>
      <c r="R100" s="31"/>
      <c r="T100" s="31"/>
      <c r="U100" s="211" t="s">
        <v>510</v>
      </c>
      <c r="V100" s="212">
        <v>150</v>
      </c>
      <c r="W100" s="213">
        <v>151</v>
      </c>
      <c r="X100" s="213">
        <v>153</v>
      </c>
    </row>
    <row r="101" spans="1:27" ht="14.25" customHeight="1">
      <c r="A101" s="21">
        <v>38717</v>
      </c>
      <c r="B101" s="31">
        <v>47049.1</v>
      </c>
      <c r="C101" s="6">
        <f>SUM(bdp!AP49:AP52)</f>
        <v>227098.7</v>
      </c>
      <c r="D101" s="6">
        <f>SUM(bdp!AQ49:AQ52)</f>
        <v>42916.077451879872</v>
      </c>
      <c r="E101" s="31">
        <f t="shared" si="40"/>
        <v>49411.4</v>
      </c>
      <c r="F101" s="105">
        <f t="shared" si="41"/>
        <v>0.21757676287887159</v>
      </c>
      <c r="G101" s="105">
        <f t="shared" si="42"/>
        <v>0.15134939942736114</v>
      </c>
      <c r="I101" s="21">
        <v>38717</v>
      </c>
      <c r="J101" s="148">
        <v>31301.3</v>
      </c>
      <c r="K101" s="91"/>
      <c r="M101" s="21"/>
      <c r="N101" s="31"/>
      <c r="O101" s="31"/>
      <c r="P101" s="21">
        <v>38717</v>
      </c>
      <c r="Q101" s="31">
        <v>9371.2999999999993</v>
      </c>
      <c r="R101" s="31"/>
      <c r="T101" s="31"/>
      <c r="U101" s="214" t="s">
        <v>512</v>
      </c>
      <c r="V101" s="215">
        <v>181</v>
      </c>
      <c r="W101" s="216">
        <v>182</v>
      </c>
      <c r="X101" s="216">
        <v>184</v>
      </c>
    </row>
    <row r="102" spans="1:27" ht="14.25" customHeight="1">
      <c r="A102" s="21">
        <v>39082</v>
      </c>
      <c r="B102" s="31">
        <v>51273.7</v>
      </c>
      <c r="C102" s="6">
        <f>SUM(bdp!AP53:AP56)</f>
        <v>247176.40000000002</v>
      </c>
      <c r="D102" s="6">
        <f>SUM(bdp!AQ53:AQ56)</f>
        <v>47268.451939976338</v>
      </c>
      <c r="E102" s="31">
        <f t="shared" si="40"/>
        <v>53850.299999999996</v>
      </c>
      <c r="F102" s="105">
        <f t="shared" si="41"/>
        <v>0.21786181852312758</v>
      </c>
      <c r="G102" s="105">
        <f t="shared" si="42"/>
        <v>0.13924399445917102</v>
      </c>
      <c r="I102" s="21">
        <v>39082</v>
      </c>
      <c r="J102" s="148">
        <v>33877.199999999997</v>
      </c>
      <c r="K102" s="91"/>
      <c r="M102" s="21"/>
      <c r="N102" s="31"/>
      <c r="O102" s="31"/>
      <c r="P102" s="21">
        <v>39082</v>
      </c>
      <c r="Q102" s="31">
        <v>10606.9</v>
      </c>
      <c r="R102" s="31"/>
      <c r="T102" s="31"/>
      <c r="U102" s="217">
        <v>2001</v>
      </c>
      <c r="V102" s="218">
        <v>17174543601</v>
      </c>
      <c r="W102" s="219">
        <v>12074044910</v>
      </c>
      <c r="X102" s="219">
        <v>2602954975</v>
      </c>
    </row>
    <row r="103" spans="1:27" ht="14.25" customHeight="1">
      <c r="A103" s="21">
        <v>39447</v>
      </c>
      <c r="B103" s="31">
        <v>55095.9</v>
      </c>
      <c r="C103" s="6">
        <f>SUM(bdp!AP57:AP60)</f>
        <v>272580.60000000003</v>
      </c>
      <c r="D103" s="6">
        <f>SUM(bdp!AQ57:AQ60)</f>
        <v>50210.63125984199</v>
      </c>
      <c r="E103" s="31">
        <f t="shared" si="40"/>
        <v>58053</v>
      </c>
      <c r="F103" s="105">
        <f t="shared" si="41"/>
        <v>0.21297553824446785</v>
      </c>
      <c r="G103" s="105">
        <f t="shared" si="42"/>
        <v>0.15618940737019305</v>
      </c>
      <c r="I103" s="21">
        <v>39447</v>
      </c>
      <c r="J103" s="148">
        <v>37203.5</v>
      </c>
      <c r="K103" s="91"/>
      <c r="M103" s="21"/>
      <c r="N103" s="31"/>
      <c r="O103" s="31"/>
      <c r="P103" s="21">
        <v>39447</v>
      </c>
      <c r="Q103" s="31">
        <v>12547.5</v>
      </c>
      <c r="R103" s="31"/>
      <c r="T103" s="31"/>
      <c r="U103" s="220">
        <v>2002</v>
      </c>
      <c r="V103" s="221">
        <v>25639339851</v>
      </c>
      <c r="W103" s="222">
        <v>11652322334</v>
      </c>
      <c r="X103" s="222">
        <v>3221928786</v>
      </c>
    </row>
    <row r="104" spans="1:27" ht="14.25" customHeight="1">
      <c r="A104" s="21">
        <v>39813</v>
      </c>
      <c r="B104" s="31">
        <v>58485.1</v>
      </c>
      <c r="C104" s="6">
        <f>SUM(bdp!AP61:AP64)</f>
        <v>293609.3</v>
      </c>
      <c r="D104" s="6">
        <f>SUM(bdp!AQ61:AQ64)</f>
        <v>53125.804174160134</v>
      </c>
      <c r="E104" s="31">
        <f t="shared" si="40"/>
        <v>61788.7</v>
      </c>
      <c r="F104" s="105">
        <f t="shared" si="41"/>
        <v>0.21044530946397133</v>
      </c>
      <c r="G104" s="105">
        <f t="shared" si="42"/>
        <v>0.16306380600735282</v>
      </c>
      <c r="I104" s="21">
        <v>39813</v>
      </c>
      <c r="J104" s="148">
        <v>40703.5</v>
      </c>
      <c r="K104" s="91"/>
      <c r="M104" s="21"/>
      <c r="N104" s="31"/>
      <c r="O104" s="31"/>
      <c r="P104" s="21">
        <v>39813</v>
      </c>
      <c r="Q104" s="31">
        <v>13360.3</v>
      </c>
      <c r="R104" s="31"/>
      <c r="T104" s="31"/>
      <c r="U104" s="217">
        <v>2008</v>
      </c>
      <c r="V104" s="218">
        <v>40315289961</v>
      </c>
      <c r="W104" s="219">
        <v>17230920402</v>
      </c>
      <c r="X104" s="219">
        <v>6770646446</v>
      </c>
      <c r="Y104" s="31">
        <v>10062.200000000001</v>
      </c>
      <c r="Z104" s="105"/>
    </row>
    <row r="105" spans="1:27" ht="14.25" customHeight="1">
      <c r="A105" s="21">
        <v>40178</v>
      </c>
      <c r="B105" s="31">
        <v>52842.3</v>
      </c>
      <c r="C105" s="6">
        <f>SUM(bdp!AP65:AP68)</f>
        <v>283030.60000000003</v>
      </c>
      <c r="D105" s="6">
        <f>SUM(bdp!AQ65:AQ68)</f>
        <v>47739.874358392655</v>
      </c>
      <c r="E105" s="31">
        <f t="shared" si="40"/>
        <v>56153.4</v>
      </c>
      <c r="F105" s="105">
        <f t="shared" si="41"/>
        <v>0.19840045563977887</v>
      </c>
      <c r="G105" s="105">
        <f t="shared" si="42"/>
        <v>0.17623686184101262</v>
      </c>
      <c r="I105" s="21">
        <v>40178</v>
      </c>
      <c r="J105" s="148">
        <v>39994.800000000003</v>
      </c>
      <c r="K105" s="91"/>
      <c r="M105" s="21"/>
      <c r="N105" s="31"/>
      <c r="O105" s="31"/>
      <c r="P105" s="21">
        <v>40178</v>
      </c>
      <c r="Q105" s="31">
        <v>12804</v>
      </c>
      <c r="R105" s="31"/>
      <c r="T105" s="31"/>
      <c r="U105" s="217">
        <v>2009</v>
      </c>
      <c r="V105" s="218">
        <v>31958883698</v>
      </c>
      <c r="W105" s="219">
        <v>22468639407</v>
      </c>
      <c r="X105" s="219">
        <v>5093376111</v>
      </c>
      <c r="Y105" s="31">
        <v>8459</v>
      </c>
      <c r="Z105" s="105">
        <f t="shared" ref="Z105:AA105" si="43">X105/X104-1</f>
        <v>-0.24772676410993322</v>
      </c>
      <c r="AA105" s="105">
        <f t="shared" si="43"/>
        <v>-0.15932897378306932</v>
      </c>
    </row>
    <row r="106" spans="1:27" ht="14.25" customHeight="1">
      <c r="A106" s="21">
        <v>40543</v>
      </c>
      <c r="B106" s="31">
        <v>54344.800000000003</v>
      </c>
      <c r="C106" s="6">
        <f>SUM(bdp!AP69:AP72)</f>
        <v>279151</v>
      </c>
      <c r="D106" s="6">
        <f>SUM(bdp!AQ69:AQ72)</f>
        <v>49673.316463279312</v>
      </c>
      <c r="E106" s="31">
        <f t="shared" si="40"/>
        <v>57821.200000000004</v>
      </c>
      <c r="F106" s="105">
        <f t="shared" si="41"/>
        <v>0.20713234056120167</v>
      </c>
      <c r="G106" s="105">
        <f t="shared" si="42"/>
        <v>0.16402938472497541</v>
      </c>
      <c r="I106" s="21">
        <v>40543</v>
      </c>
      <c r="J106" s="148">
        <v>38712.399999999994</v>
      </c>
      <c r="K106" s="91">
        <f>nezaposlenost!AN27</f>
        <v>1432454</v>
      </c>
      <c r="L106" s="31">
        <f>AVERAGE(place!Y51:Y54)</f>
        <v>7664.4716476237891</v>
      </c>
      <c r="M106" s="31">
        <f t="shared" ref="M106:M116" si="44">K106*L106*12</f>
        <v>131748036834.30345</v>
      </c>
      <c r="N106" s="25">
        <f t="shared" ref="N106:N115" si="45">J106/(M106/1000000)</f>
        <v>0.29383663643267571</v>
      </c>
      <c r="O106" s="31"/>
      <c r="P106" s="21">
        <v>40543</v>
      </c>
      <c r="Q106" s="31">
        <v>11373.4</v>
      </c>
      <c r="R106" s="25">
        <f t="shared" ref="R106:R115" si="46">Q106/(M106/1000000)</f>
        <v>8.6326903028574681E-2</v>
      </c>
      <c r="T106" s="31"/>
      <c r="U106" s="217">
        <v>2010</v>
      </c>
      <c r="V106" s="218">
        <v>34227918805</v>
      </c>
      <c r="W106" s="219">
        <v>29850754175</v>
      </c>
      <c r="X106" s="219">
        <v>6040234369</v>
      </c>
      <c r="Y106" s="31">
        <v>6346.7</v>
      </c>
      <c r="Z106" s="105">
        <f t="shared" ref="Z106:AA106" si="47">X106/X105-1</f>
        <v>0.18589992911677999</v>
      </c>
      <c r="AA106" s="105">
        <f t="shared" si="47"/>
        <v>-0.24971036765575128</v>
      </c>
    </row>
    <row r="107" spans="1:27" ht="14.25" customHeight="1">
      <c r="A107" s="21">
        <v>40908</v>
      </c>
      <c r="B107" s="31">
        <v>53773.9</v>
      </c>
      <c r="C107" s="6">
        <f>SUM(bdp!AP73:AP76)</f>
        <v>284482.59999999998</v>
      </c>
      <c r="D107" s="6">
        <f>SUM(bdp!AQ73:AQ76)</f>
        <v>48732.066559747058</v>
      </c>
      <c r="E107" s="31">
        <f t="shared" si="40"/>
        <v>57306.400000000001</v>
      </c>
      <c r="F107" s="105">
        <f t="shared" si="41"/>
        <v>0.20144079110638052</v>
      </c>
      <c r="G107" s="105">
        <f t="shared" si="42"/>
        <v>0.17594848824522025</v>
      </c>
      <c r="I107" s="21">
        <v>40908</v>
      </c>
      <c r="J107" s="148">
        <v>38605.100000000006</v>
      </c>
      <c r="K107" s="91">
        <f>nezaposlenost!AO27</f>
        <v>1411238</v>
      </c>
      <c r="L107" s="31">
        <f>AVERAGE(place!Y55:Y58)</f>
        <v>7785.488789832536</v>
      </c>
      <c r="M107" s="31">
        <f t="shared" si="44"/>
        <v>131846131545.42825</v>
      </c>
      <c r="N107" s="25">
        <f t="shared" si="45"/>
        <v>0.29280419188255385</v>
      </c>
      <c r="O107" s="31"/>
      <c r="P107" s="21">
        <v>40908</v>
      </c>
      <c r="Q107" s="31">
        <v>11484.7</v>
      </c>
      <c r="R107" s="25">
        <f t="shared" si="46"/>
        <v>8.7106840871117183E-2</v>
      </c>
      <c r="T107" s="31"/>
      <c r="U107" s="217">
        <v>2011</v>
      </c>
      <c r="V107" s="218">
        <v>38262449537</v>
      </c>
      <c r="W107" s="219">
        <v>25848960979</v>
      </c>
      <c r="X107" s="219">
        <v>5233555448</v>
      </c>
      <c r="Y107" s="31">
        <v>7740.8</v>
      </c>
      <c r="Z107" s="105">
        <f t="shared" ref="Z107:AA107" si="48">X107/X106-1</f>
        <v>-0.13355093059634882</v>
      </c>
      <c r="AA107" s="105">
        <f t="shared" si="48"/>
        <v>0.21965745978224915</v>
      </c>
    </row>
    <row r="108" spans="1:27" ht="14.25" customHeight="1">
      <c r="A108" s="21">
        <v>41274</v>
      </c>
      <c r="B108" s="31">
        <v>56335.7</v>
      </c>
      <c r="C108" s="6">
        <f>SUM(bdp!AP77:AP80)</f>
        <v>278373.30000000005</v>
      </c>
      <c r="D108" s="6">
        <f>SUM(bdp!AQ77:AQ80)</f>
        <v>52136.061014832485</v>
      </c>
      <c r="E108" s="31">
        <f t="shared" si="40"/>
        <v>59891.6</v>
      </c>
      <c r="F108" s="105">
        <f t="shared" si="41"/>
        <v>0.21514850741791683</v>
      </c>
      <c r="G108" s="105">
        <f t="shared" si="42"/>
        <v>0.14875575243325523</v>
      </c>
      <c r="I108" s="21">
        <v>41274</v>
      </c>
      <c r="J108" s="148">
        <v>37845.899999999994</v>
      </c>
      <c r="K108" s="91">
        <f>nezaposlenost!AP27</f>
        <v>1395116</v>
      </c>
      <c r="L108" s="31">
        <f>AVERAGE(place!Y59:Y62)</f>
        <v>7860.2792714188436</v>
      </c>
      <c r="M108" s="31">
        <f t="shared" si="44"/>
        <v>131592016512.29724</v>
      </c>
      <c r="N108" s="25">
        <f t="shared" si="45"/>
        <v>0.28760027396086985</v>
      </c>
      <c r="O108" s="31"/>
      <c r="P108" s="21">
        <v>41274</v>
      </c>
      <c r="Q108" s="31">
        <v>12191.2</v>
      </c>
      <c r="R108" s="25">
        <f t="shared" si="46"/>
        <v>9.2643918097119027E-2</v>
      </c>
      <c r="T108" s="31"/>
      <c r="U108" s="217">
        <v>2012</v>
      </c>
      <c r="V108" s="218">
        <v>38388097074</v>
      </c>
      <c r="W108" s="219">
        <v>29195384274</v>
      </c>
      <c r="X108" s="219">
        <v>4251796966</v>
      </c>
      <c r="Y108" s="31">
        <v>6597.3</v>
      </c>
      <c r="Z108" s="105">
        <f t="shared" ref="Z108:AA108" si="49">X108/X107-1</f>
        <v>-0.18758920044979721</v>
      </c>
      <c r="AA108" s="105">
        <f t="shared" si="49"/>
        <v>-0.1477237494832575</v>
      </c>
    </row>
    <row r="109" spans="1:27" ht="14.25" customHeight="1">
      <c r="A109" s="21">
        <v>41639</v>
      </c>
      <c r="B109" s="31">
        <v>58022.6</v>
      </c>
      <c r="C109" s="6">
        <f>SUM(bdp!AP81:AP84)</f>
        <v>276217.5</v>
      </c>
      <c r="D109" s="6">
        <f>SUM(bdp!AQ81:AQ84)</f>
        <v>54991.448236623313</v>
      </c>
      <c r="E109" s="31">
        <f t="shared" si="40"/>
        <v>61665.5</v>
      </c>
      <c r="F109" s="105">
        <f t="shared" si="41"/>
        <v>0.22324979409342274</v>
      </c>
      <c r="G109" s="105">
        <f t="shared" si="42"/>
        <v>0.12136526637121525</v>
      </c>
      <c r="I109" s="21">
        <v>41639</v>
      </c>
      <c r="J109" s="148">
        <v>37149.300000000003</v>
      </c>
      <c r="K109" s="91">
        <f>nezaposlenost!AQ27</f>
        <v>1364298</v>
      </c>
      <c r="L109" s="31">
        <f>AVERAGE(place!Y63:Y66)</f>
        <v>7940.6576498330141</v>
      </c>
      <c r="M109" s="31">
        <f t="shared" si="44"/>
        <v>130001080204.22256</v>
      </c>
      <c r="N109" s="25">
        <f t="shared" si="45"/>
        <v>0.28576147168655108</v>
      </c>
      <c r="O109" s="31"/>
      <c r="P109" s="21">
        <v>41639</v>
      </c>
      <c r="Q109" s="31">
        <v>12761.9</v>
      </c>
      <c r="R109" s="25">
        <f t="shared" si="46"/>
        <v>9.8167645837649586E-2</v>
      </c>
      <c r="T109" s="31"/>
      <c r="U109" s="217">
        <v>2013</v>
      </c>
      <c r="V109" s="218">
        <v>34639382126</v>
      </c>
      <c r="W109" s="219">
        <v>27195939795</v>
      </c>
      <c r="X109" s="219">
        <v>3913950313</v>
      </c>
      <c r="Y109" s="31">
        <v>6741.8</v>
      </c>
      <c r="Z109" s="105">
        <f t="shared" ref="Z109:AA109" si="50">X109/X108-1</f>
        <v>-7.945973330844136E-2</v>
      </c>
      <c r="AA109" s="105">
        <f t="shared" si="50"/>
        <v>2.1902899671077503E-2</v>
      </c>
    </row>
    <row r="110" spans="1:27" ht="14.25" customHeight="1">
      <c r="A110" s="21">
        <v>42004</v>
      </c>
      <c r="B110" s="31">
        <v>57545.1</v>
      </c>
      <c r="C110" s="6">
        <f>SUM(bdp!AP85:AP88)</f>
        <v>276364.79999999999</v>
      </c>
      <c r="D110" s="6">
        <f>SUM(bdp!AQ85:AQ88)</f>
        <v>54977.96324719501</v>
      </c>
      <c r="E110" s="31">
        <f t="shared" si="40"/>
        <v>61289.7</v>
      </c>
      <c r="F110" s="105">
        <f t="shared" si="41"/>
        <v>0.22177100701681257</v>
      </c>
      <c r="G110" s="105">
        <f t="shared" si="42"/>
        <v>0.11480484870685004</v>
      </c>
      <c r="I110" s="21">
        <v>42004</v>
      </c>
      <c r="J110" s="148">
        <v>39186.699999999997</v>
      </c>
      <c r="K110" s="91">
        <f>nezaposlenost!AR27</f>
        <v>1342149</v>
      </c>
      <c r="L110" s="31">
        <f>AVERAGE(place!Y67:Y70)</f>
        <v>7937.1302868396233</v>
      </c>
      <c r="M110" s="31">
        <f t="shared" si="44"/>
        <v>127833737728.21815</v>
      </c>
      <c r="N110" s="25">
        <f t="shared" si="45"/>
        <v>0.30654427146074037</v>
      </c>
      <c r="O110" s="31"/>
      <c r="P110" s="21">
        <v>42004</v>
      </c>
      <c r="Q110" s="31">
        <v>12821.3</v>
      </c>
      <c r="R110" s="25">
        <f t="shared" si="46"/>
        <v>0.10029668401982282</v>
      </c>
      <c r="T110" s="31"/>
      <c r="U110" s="217">
        <v>2014</v>
      </c>
      <c r="V110" s="218">
        <v>39146980459</v>
      </c>
      <c r="W110" s="219">
        <v>25239919793</v>
      </c>
      <c r="X110" s="219">
        <v>4152989268</v>
      </c>
      <c r="Y110" s="31">
        <v>5824.7</v>
      </c>
      <c r="Z110" s="105">
        <f t="shared" ref="Z110:AA110" si="51">X110/X109-1</f>
        <v>6.1073579346688112E-2</v>
      </c>
      <c r="AA110" s="105">
        <f t="shared" si="51"/>
        <v>-0.13603192025868471</v>
      </c>
    </row>
    <row r="111" spans="1:27" ht="14.25" customHeight="1">
      <c r="A111" s="21">
        <v>42369</v>
      </c>
      <c r="B111" s="31">
        <v>60488.1</v>
      </c>
      <c r="C111" s="6">
        <f>SUM(bdp!AP89:AP92)</f>
        <v>281466.60000000003</v>
      </c>
      <c r="D111" s="6">
        <f>SUM(bdp!AQ89:AQ92)</f>
        <v>58229.843394199095</v>
      </c>
      <c r="E111" s="31">
        <f t="shared" si="40"/>
        <v>64834.7</v>
      </c>
      <c r="F111" s="105">
        <f t="shared" si="41"/>
        <v>0.23034598065987222</v>
      </c>
      <c r="G111" s="105">
        <f t="shared" si="42"/>
        <v>0.11342734619923234</v>
      </c>
      <c r="I111" s="21">
        <v>42369</v>
      </c>
      <c r="J111" s="148">
        <v>40714.400000000001</v>
      </c>
      <c r="K111" s="91">
        <f>nezaposlenost!AS27</f>
        <v>1391002</v>
      </c>
      <c r="L111" s="31">
        <f>AVERAGE(place!Y71:Y74)</f>
        <v>7614.9227151326868</v>
      </c>
      <c r="M111" s="31">
        <f t="shared" si="44"/>
        <v>127108472719.13997</v>
      </c>
      <c r="N111" s="25">
        <f t="shared" si="45"/>
        <v>0.32031224299235272</v>
      </c>
      <c r="O111" s="31"/>
      <c r="P111" s="21">
        <v>42369</v>
      </c>
      <c r="Q111" s="31">
        <v>12038.6</v>
      </c>
      <c r="R111" s="25">
        <f t="shared" si="46"/>
        <v>9.4711231615539904E-2</v>
      </c>
      <c r="T111" s="31"/>
      <c r="U111" s="217">
        <v>2015</v>
      </c>
      <c r="V111" s="218">
        <v>41857585940</v>
      </c>
      <c r="W111" s="219">
        <v>19164129346</v>
      </c>
      <c r="X111" s="219">
        <v>5553952492</v>
      </c>
      <c r="Y111" s="31">
        <v>6362.6</v>
      </c>
      <c r="Z111" s="105">
        <f t="shared" ref="Z111:AA111" si="52">X111/X110-1</f>
        <v>0.3373385129585651</v>
      </c>
      <c r="AA111" s="105">
        <f t="shared" si="52"/>
        <v>9.2348103765000911E-2</v>
      </c>
    </row>
    <row r="112" spans="1:27" ht="14.25" customHeight="1">
      <c r="A112" s="21">
        <v>42735</v>
      </c>
      <c r="B112" s="31">
        <v>63093.5</v>
      </c>
      <c r="C112" s="6">
        <f>SUM(bdp!AP93:AP96)</f>
        <v>291037.2</v>
      </c>
      <c r="D112" s="6">
        <f>SUM(bdp!AQ93:AQ96)</f>
        <v>60131.543212182136</v>
      </c>
      <c r="E112" s="31">
        <f t="shared" si="40"/>
        <v>67620.100000000006</v>
      </c>
      <c r="F112" s="105">
        <f t="shared" si="41"/>
        <v>0.23234177624028821</v>
      </c>
      <c r="G112" s="105">
        <f t="shared" si="42"/>
        <v>0.12453624816169273</v>
      </c>
      <c r="I112" s="21">
        <v>42735</v>
      </c>
      <c r="J112" s="148">
        <v>41730</v>
      </c>
      <c r="K112" s="91">
        <f>nezaposlenost!AT27</f>
        <v>1443141</v>
      </c>
      <c r="L112" s="31">
        <f>AVERAGE(place!Y75:Y78)</f>
        <v>7750.8142261665762</v>
      </c>
      <c r="M112" s="31">
        <f t="shared" si="44"/>
        <v>134226213517.9711</v>
      </c>
      <c r="N112" s="25">
        <f t="shared" si="45"/>
        <v>0.3108930730167167</v>
      </c>
      <c r="O112" s="31"/>
      <c r="P112" s="21">
        <v>42735</v>
      </c>
      <c r="Q112" s="31">
        <v>12765.3</v>
      </c>
      <c r="R112" s="25">
        <f t="shared" si="46"/>
        <v>9.5102883896005116E-2</v>
      </c>
      <c r="T112" s="31"/>
      <c r="U112" s="217">
        <v>2016</v>
      </c>
      <c r="V112" s="218">
        <v>45702436775</v>
      </c>
      <c r="W112" s="219">
        <v>14656839950</v>
      </c>
      <c r="X112" s="219">
        <v>7010340948</v>
      </c>
      <c r="Y112" s="31">
        <v>7745.2</v>
      </c>
      <c r="Z112" s="105">
        <f t="shared" ref="Z112:AA112" si="53">X112/X111-1</f>
        <v>0.26222558765092141</v>
      </c>
      <c r="AA112" s="105">
        <f t="shared" si="53"/>
        <v>0.21730110332254093</v>
      </c>
    </row>
    <row r="113" spans="1:27" ht="14.25" customHeight="1">
      <c r="A113" s="21">
        <v>43100</v>
      </c>
      <c r="B113" s="31">
        <v>67313.3</v>
      </c>
      <c r="C113" s="6">
        <f>SUM(bdp!AP97:AP100)</f>
        <v>302659.30000000005</v>
      </c>
      <c r="D113" s="6">
        <f>SUM(bdp!AQ97:AQ100)</f>
        <v>63766.908828939042</v>
      </c>
      <c r="E113" s="31">
        <f t="shared" si="40"/>
        <v>71523.900000000009</v>
      </c>
      <c r="F113" s="105">
        <f t="shared" si="41"/>
        <v>0.23631819673144025</v>
      </c>
      <c r="G113" s="105">
        <f t="shared" si="42"/>
        <v>0.12164602790876766</v>
      </c>
      <c r="I113" s="21">
        <v>43100</v>
      </c>
      <c r="J113" s="148">
        <v>43633.8</v>
      </c>
      <c r="K113" s="91">
        <f>nezaposlenost!AU27</f>
        <v>1476832</v>
      </c>
      <c r="L113" s="31">
        <f>AVERAGE(place!Y79:Y82)</f>
        <v>8082.3900569763655</v>
      </c>
      <c r="M113" s="31">
        <f t="shared" si="44"/>
        <v>143235987271.49423</v>
      </c>
      <c r="N113" s="25">
        <f t="shared" si="45"/>
        <v>0.30462875169279252</v>
      </c>
      <c r="O113" s="31"/>
      <c r="P113" s="21">
        <v>43100</v>
      </c>
      <c r="Q113" s="31">
        <v>12097.8</v>
      </c>
      <c r="R113" s="25">
        <f t="shared" si="46"/>
        <v>8.4460617966554935E-2</v>
      </c>
      <c r="T113" s="31"/>
      <c r="U113" s="217">
        <v>2017</v>
      </c>
      <c r="V113" s="218">
        <v>47579635894</v>
      </c>
      <c r="W113" s="219">
        <v>43876801811</v>
      </c>
      <c r="X113" s="219">
        <v>6759644150</v>
      </c>
      <c r="Y113" s="31">
        <v>8462.1</v>
      </c>
      <c r="Z113" s="105">
        <f t="shared" ref="Z113:AA113" si="54">X113/X112-1</f>
        <v>-3.5760999337916988E-2</v>
      </c>
      <c r="AA113" s="105">
        <f t="shared" si="54"/>
        <v>9.2560553633218134E-2</v>
      </c>
    </row>
    <row r="114" spans="1:27" ht="14.25" customHeight="1">
      <c r="A114" s="21">
        <v>43465</v>
      </c>
      <c r="B114" s="31">
        <v>72248.3</v>
      </c>
      <c r="C114" s="6">
        <f>SUM(bdp!AP101:AP104)</f>
        <v>314886.3</v>
      </c>
      <c r="D114" s="6">
        <f>SUM(bdp!AQ101:AQ104)</f>
        <v>68078.739712485665</v>
      </c>
      <c r="E114" s="31">
        <f t="shared" si="40"/>
        <v>76666.100000000006</v>
      </c>
      <c r="F114" s="105">
        <f t="shared" si="41"/>
        <v>0.24347232636034025</v>
      </c>
      <c r="G114" s="105">
        <f t="shared" si="42"/>
        <v>0.1261386495076291</v>
      </c>
      <c r="I114" s="21">
        <v>43465</v>
      </c>
      <c r="J114" s="148">
        <v>45907.7</v>
      </c>
      <c r="K114" s="91">
        <f>nezaposlenost!AV27</f>
        <v>1517580</v>
      </c>
      <c r="L114" s="31">
        <f>AVERAGE(place!Y83:Y86)</f>
        <v>8413.4934662558007</v>
      </c>
      <c r="M114" s="31">
        <f t="shared" si="44"/>
        <v>153217792974.24573</v>
      </c>
      <c r="N114" s="25">
        <f t="shared" si="45"/>
        <v>0.29962381723979398</v>
      </c>
      <c r="O114" s="31"/>
      <c r="P114" s="21">
        <v>43465</v>
      </c>
      <c r="Q114" s="31">
        <v>13582.6</v>
      </c>
      <c r="R114" s="25">
        <f t="shared" si="46"/>
        <v>8.8648973048992358E-2</v>
      </c>
      <c r="T114" s="31"/>
      <c r="U114" s="217">
        <v>2018</v>
      </c>
      <c r="V114" s="218">
        <v>54380814552</v>
      </c>
      <c r="W114" s="219">
        <v>18641045372</v>
      </c>
      <c r="X114" s="219">
        <v>7489570285</v>
      </c>
      <c r="Y114" s="31">
        <v>8730.2000000000007</v>
      </c>
      <c r="Z114" s="105">
        <f t="shared" ref="Z114:AA114" si="55">X114/X113-1</f>
        <v>0.10798292318390756</v>
      </c>
      <c r="AA114" s="105">
        <f t="shared" si="55"/>
        <v>3.1682442892426277E-2</v>
      </c>
    </row>
    <row r="115" spans="1:27" ht="14.25" customHeight="1">
      <c r="A115" s="21">
        <v>43830</v>
      </c>
      <c r="B115" s="223">
        <v>76224</v>
      </c>
      <c r="C115" s="6">
        <f>SUM(bdp!AP105:AP108)</f>
        <v>328236.59999999998</v>
      </c>
      <c r="D115" s="6">
        <f>SUM(bdp!AQ105:AQ108)</f>
        <v>71866.006315643986</v>
      </c>
      <c r="E115" s="31">
        <f t="shared" si="40"/>
        <v>81289</v>
      </c>
      <c r="F115" s="105">
        <f t="shared" si="41"/>
        <v>0.24765367420939655</v>
      </c>
      <c r="G115" s="105">
        <f t="shared" si="42"/>
        <v>0.13111892767449906</v>
      </c>
      <c r="I115" s="224">
        <v>43830</v>
      </c>
      <c r="J115" s="169">
        <v>47364</v>
      </c>
      <c r="K115" s="91">
        <f>nezaposlenost!AZ27</f>
        <v>1562312</v>
      </c>
      <c r="L115" s="31">
        <f>AVERAGE(place!Y87:Y90)</f>
        <v>8747.2112547186953</v>
      </c>
      <c r="M115" s="31">
        <f t="shared" si="44"/>
        <v>163990477317.38489</v>
      </c>
      <c r="N115" s="25">
        <f t="shared" si="45"/>
        <v>0.28882164851762931</v>
      </c>
      <c r="O115" s="31"/>
      <c r="P115" s="164">
        <v>43830</v>
      </c>
      <c r="Q115" s="167">
        <v>14446.135489763499</v>
      </c>
      <c r="R115" s="25">
        <f t="shared" si="46"/>
        <v>8.8091307044644129E-2</v>
      </c>
      <c r="T115" s="31"/>
      <c r="U115" s="167"/>
    </row>
    <row r="116" spans="1:27" ht="14.25" customHeight="1">
      <c r="A116" s="21">
        <v>44196</v>
      </c>
      <c r="C116" s="6">
        <f>SUM(bdp!AP109:AP112)</f>
        <v>262787.27918286494</v>
      </c>
      <c r="D116" s="6">
        <f>SUM(bdp!AQ109:AQ112)</f>
        <v>44673.837461087038</v>
      </c>
      <c r="I116" s="21">
        <v>44196</v>
      </c>
      <c r="J116" s="148">
        <f>K116*L116*12/1000000*29%</f>
        <v>40334.328148159526</v>
      </c>
      <c r="K116" s="91">
        <f>nezaposlenost!BF27</f>
        <v>1387471.7506707723</v>
      </c>
      <c r="L116" s="31">
        <f>AVERAGE(place!Y91:Y94)</f>
        <v>8353.5568741506122</v>
      </c>
      <c r="M116" s="31">
        <f t="shared" si="44"/>
        <v>139083890166.06735</v>
      </c>
    </row>
    <row r="117" spans="1:27" ht="14.25" customHeight="1"/>
    <row r="118" spans="1:27" ht="14.25" customHeight="1">
      <c r="N118" s="227">
        <f>AVERAGE(N106:N115)</f>
        <v>0.29908263788826767</v>
      </c>
      <c r="R118" s="227">
        <f>AVERAGE(R106:R115)</f>
        <v>9.1555700542601953E-2</v>
      </c>
    </row>
    <row r="119" spans="1:27" ht="14.25" customHeight="1"/>
    <row r="120" spans="1:27" ht="14.25" customHeight="1"/>
    <row r="121" spans="1:27" ht="14.25" customHeight="1">
      <c r="A121" s="2" t="s">
        <v>9</v>
      </c>
    </row>
    <row r="122" spans="1:27" ht="14.25" customHeight="1">
      <c r="A122" s="21">
        <v>37621</v>
      </c>
    </row>
    <row r="123" spans="1:27" ht="14.25" customHeight="1">
      <c r="A123" s="21">
        <v>37986</v>
      </c>
    </row>
    <row r="124" spans="1:27" ht="14.25" customHeight="1">
      <c r="A124" s="21">
        <v>38352</v>
      </c>
      <c r="J124" s="21"/>
      <c r="K124" s="21"/>
      <c r="L124" s="21"/>
      <c r="N124" s="21"/>
      <c r="O124" s="21"/>
      <c r="P124" s="21"/>
      <c r="Q124" s="21"/>
      <c r="R124" s="21"/>
      <c r="S124" s="21"/>
      <c r="T124" s="21"/>
    </row>
    <row r="125" spans="1:27" ht="14.25" customHeight="1">
      <c r="A125" s="21">
        <v>38717</v>
      </c>
      <c r="J125" s="31"/>
      <c r="K125" s="31"/>
      <c r="L125" s="31"/>
      <c r="N125" s="31"/>
      <c r="O125" s="31"/>
      <c r="P125" s="31"/>
      <c r="Q125" s="31"/>
      <c r="R125" s="31"/>
      <c r="S125" s="31"/>
      <c r="T125" s="31"/>
    </row>
    <row r="126" spans="1:27" ht="14.25" customHeight="1">
      <c r="A126" s="21">
        <v>39082</v>
      </c>
      <c r="J126" s="31"/>
      <c r="K126" s="31"/>
      <c r="L126" s="31"/>
      <c r="N126" s="31"/>
      <c r="O126" s="31"/>
      <c r="P126" s="31"/>
      <c r="Q126" s="31"/>
      <c r="R126" s="31"/>
      <c r="S126" s="31"/>
      <c r="T126" s="31"/>
    </row>
    <row r="127" spans="1:27" ht="14.25" customHeight="1">
      <c r="A127" s="21">
        <v>39447</v>
      </c>
      <c r="J127" s="31"/>
      <c r="K127" s="31"/>
      <c r="L127" s="31"/>
      <c r="N127" s="31"/>
      <c r="O127" s="31"/>
      <c r="P127" s="31"/>
      <c r="Q127" s="31"/>
      <c r="R127" s="31"/>
      <c r="S127" s="31"/>
      <c r="T127" s="31"/>
    </row>
    <row r="128" spans="1:27" ht="14.25" customHeight="1">
      <c r="A128" s="21">
        <v>39813</v>
      </c>
      <c r="J128" s="31"/>
      <c r="K128" s="31"/>
      <c r="L128" s="31"/>
      <c r="N128" s="31"/>
      <c r="O128" s="31"/>
      <c r="P128" s="31"/>
      <c r="Q128" s="31"/>
      <c r="R128" s="31"/>
      <c r="S128" s="31"/>
      <c r="T128" s="31"/>
    </row>
    <row r="129" spans="1:20" ht="14.25" customHeight="1">
      <c r="A129" s="21">
        <v>40178</v>
      </c>
      <c r="J129" s="31"/>
      <c r="K129" s="31"/>
      <c r="L129" s="31"/>
      <c r="N129" s="31"/>
      <c r="O129" s="31"/>
      <c r="P129" s="31"/>
      <c r="Q129" s="31"/>
      <c r="R129" s="31"/>
      <c r="S129" s="31"/>
      <c r="T129" s="31"/>
    </row>
    <row r="130" spans="1:20" ht="14.25" customHeight="1">
      <c r="A130" s="21">
        <v>40543</v>
      </c>
      <c r="J130" s="31"/>
      <c r="K130" s="31"/>
      <c r="L130" s="31"/>
      <c r="N130" s="31"/>
      <c r="O130" s="31"/>
      <c r="P130" s="31"/>
      <c r="Q130" s="31"/>
      <c r="R130" s="31"/>
      <c r="S130" s="31"/>
      <c r="T130" s="31"/>
    </row>
    <row r="131" spans="1:20" ht="14.25" customHeight="1">
      <c r="A131" s="21">
        <v>40908</v>
      </c>
      <c r="J131" s="31"/>
      <c r="K131" s="31"/>
      <c r="L131" s="31"/>
      <c r="N131" s="31"/>
      <c r="O131" s="31"/>
      <c r="P131" s="31"/>
      <c r="Q131" s="31"/>
      <c r="R131" s="31"/>
      <c r="S131" s="31"/>
      <c r="T131" s="31"/>
    </row>
    <row r="132" spans="1:20" ht="14.25" customHeight="1">
      <c r="A132" s="21">
        <v>41274</v>
      </c>
      <c r="J132" s="31"/>
      <c r="K132" s="31"/>
      <c r="L132" s="31"/>
      <c r="N132" s="31"/>
      <c r="O132" s="31"/>
      <c r="P132" s="31"/>
      <c r="Q132" s="31"/>
      <c r="R132" s="31"/>
      <c r="S132" s="31"/>
      <c r="T132" s="31"/>
    </row>
    <row r="133" spans="1:20" ht="14.25" customHeight="1">
      <c r="A133" s="21">
        <v>41639</v>
      </c>
    </row>
    <row r="134" spans="1:20" ht="14.25" customHeight="1">
      <c r="A134" s="21">
        <v>42004</v>
      </c>
    </row>
    <row r="135" spans="1:20" ht="14.25" customHeight="1">
      <c r="A135" s="21">
        <v>42369</v>
      </c>
    </row>
    <row r="136" spans="1:20" ht="14.25" customHeight="1">
      <c r="A136" s="21">
        <v>42735</v>
      </c>
    </row>
    <row r="137" spans="1:20" ht="14.25" customHeight="1">
      <c r="A137" s="21">
        <v>43100</v>
      </c>
    </row>
    <row r="138" spans="1:20" ht="14.25" customHeight="1">
      <c r="A138" s="21">
        <v>43465</v>
      </c>
    </row>
    <row r="139" spans="1:20" ht="14.25" customHeight="1"/>
    <row r="140" spans="1:20" ht="14.25" customHeight="1"/>
    <row r="141" spans="1:20" ht="14.25" customHeight="1"/>
    <row r="142" spans="1:20" ht="14.25" customHeight="1"/>
    <row r="143" spans="1:20" ht="14.25" customHeight="1"/>
    <row r="144" spans="1:2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AV4:AX4"/>
    <mergeCell ref="AY4:BA4"/>
    <mergeCell ref="I3:K3"/>
    <mergeCell ref="E4:G4"/>
    <mergeCell ref="B3:D3"/>
    <mergeCell ref="E3:H3"/>
    <mergeCell ref="A1:AE1"/>
    <mergeCell ref="B2:L2"/>
    <mergeCell ref="M2:S2"/>
    <mergeCell ref="T2:T5"/>
    <mergeCell ref="U2:AB4"/>
    <mergeCell ref="AC2:AC5"/>
    <mergeCell ref="AD2:AD5"/>
    <mergeCell ref="M25:S25"/>
    <mergeCell ref="A27:AE27"/>
    <mergeCell ref="B28:L28"/>
    <mergeCell ref="M28:S28"/>
    <mergeCell ref="U25:AB25"/>
    <mergeCell ref="T28:T31"/>
    <mergeCell ref="U28:AB30"/>
    <mergeCell ref="AC28:AC31"/>
    <mergeCell ref="AD28:AD31"/>
    <mergeCell ref="B29:D29"/>
    <mergeCell ref="E29:H29"/>
    <mergeCell ref="I29:K29"/>
    <mergeCell ref="E30:G30"/>
    <mergeCell ref="M51:S51"/>
    <mergeCell ref="A53:AE53"/>
    <mergeCell ref="U51:AB51"/>
    <mergeCell ref="E55:H55"/>
    <mergeCell ref="I55:K55"/>
    <mergeCell ref="AC54:AC57"/>
    <mergeCell ref="AD54:AD57"/>
    <mergeCell ref="M77:S77"/>
    <mergeCell ref="U77:AB77"/>
    <mergeCell ref="B54:L54"/>
    <mergeCell ref="M54:S54"/>
    <mergeCell ref="T54:T57"/>
    <mergeCell ref="U54:AB56"/>
    <mergeCell ref="B55:D55"/>
    <mergeCell ref="E56:G56"/>
  </mergeCells>
  <conditionalFormatting sqref="AD6:AD24">
    <cfRule type="cellIs" dxfId="11" priority="1" operator="greaterThan">
      <formula>0</formula>
    </cfRule>
  </conditionalFormatting>
  <conditionalFormatting sqref="AD6:AD24">
    <cfRule type="cellIs" dxfId="10" priority="2" operator="lessThan">
      <formula>0</formula>
    </cfRule>
  </conditionalFormatting>
  <conditionalFormatting sqref="AE6:AE24">
    <cfRule type="cellIs" dxfId="9" priority="3" operator="greaterThan">
      <formula>0</formula>
    </cfRule>
  </conditionalFormatting>
  <conditionalFormatting sqref="AE6:AE24">
    <cfRule type="cellIs" dxfId="8" priority="4" operator="lessThan">
      <formula>0</formula>
    </cfRule>
  </conditionalFormatting>
  <conditionalFormatting sqref="AD32:AD50">
    <cfRule type="cellIs" dxfId="7" priority="5" operator="greaterThan">
      <formula>0</formula>
    </cfRule>
  </conditionalFormatting>
  <conditionalFormatting sqref="AD32:AD50">
    <cfRule type="cellIs" dxfId="6" priority="6" operator="lessThan">
      <formula>0</formula>
    </cfRule>
  </conditionalFormatting>
  <conditionalFormatting sqref="AE32:AE50">
    <cfRule type="cellIs" dxfId="5" priority="7" operator="greaterThan">
      <formula>0</formula>
    </cfRule>
  </conditionalFormatting>
  <conditionalFormatting sqref="AE32:AE50">
    <cfRule type="cellIs" dxfId="4" priority="8" operator="lessThan">
      <formula>0</formula>
    </cfRule>
  </conditionalFormatting>
  <conditionalFormatting sqref="AD58:AD76">
    <cfRule type="cellIs" dxfId="3" priority="9" operator="greaterThan">
      <formula>0</formula>
    </cfRule>
  </conditionalFormatting>
  <conditionalFormatting sqref="AD58:AD76">
    <cfRule type="cellIs" dxfId="2" priority="10" operator="lessThan">
      <formula>0</formula>
    </cfRule>
  </conditionalFormatting>
  <conditionalFormatting sqref="AE58:AE76">
    <cfRule type="cellIs" dxfId="1" priority="11" operator="greaterThan">
      <formula>0</formula>
    </cfRule>
  </conditionalFormatting>
  <conditionalFormatting sqref="AE58:AE76">
    <cfRule type="cellIs" dxfId="0" priority="12" operator="lessThan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framework</vt:lpstr>
      <vt:lpstr>bdp</vt:lpstr>
      <vt:lpstr>nezaposlenost</vt:lpstr>
      <vt:lpstr>place</vt:lpstr>
      <vt:lpstr>vanjski_sektor</vt:lpstr>
      <vt:lpstr>krediti</vt:lpstr>
      <vt:lpstr>inflacija</vt:lpstr>
      <vt:lpstr>nekretnine</vt:lpstr>
      <vt:lpstr>javne_financije</vt:lpstr>
      <vt:lpstr>prinos</vt:lpstr>
      <vt:lpstr>kstope</vt:lpstr>
      <vt:lpstr>tecaj</vt:lpstr>
      <vt:lpstr>goods</vt:lpstr>
      <vt:lpstr>international_reserves</vt:lpstr>
      <vt:lpstr>javni_deficit</vt:lpstr>
      <vt:lpstr>javni_dug</vt:lpstr>
      <vt:lpstr>primary_income</vt:lpstr>
      <vt:lpstr>secondary_income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bambas</dc:creator>
  <cp:lastModifiedBy>bambas</cp:lastModifiedBy>
  <cp:lastPrinted>2020-05-02T11:18:42Z</cp:lastPrinted>
  <dcterms:created xsi:type="dcterms:W3CDTF">2015-06-05T18:19:34Z</dcterms:created>
  <dcterms:modified xsi:type="dcterms:W3CDTF">2020-05-06T15:52:53Z</dcterms:modified>
</cp:coreProperties>
</file>